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auraBelanger\Dropbox\Non-Essential Turf Project\SOW_TaskWork\CaseStudiesReportAndTemplates\TemplateFilesToPost\"/>
    </mc:Choice>
  </mc:AlternateContent>
  <xr:revisionPtr revIDLastSave="0" documentId="13_ncr:1_{4D3FA45C-FC6F-47B1-AC0A-A03A34B455E1}" xr6:coauthVersionLast="47" xr6:coauthVersionMax="47" xr10:uidLastSave="{00000000-0000-0000-0000-000000000000}"/>
  <bookViews>
    <workbookView xWindow="-28920" yWindow="-120" windowWidth="29040" windowHeight="15720" xr2:uid="{FE0E1169-86B5-4FC8-9F15-5584AB43D39A}"/>
  </bookViews>
  <sheets>
    <sheet name="Documentation" sheetId="20" r:id="rId1"/>
    <sheet name="dashboard and results" sheetId="9" r:id="rId2"/>
    <sheet name="water provider assumptions" sheetId="11" r:id="rId3"/>
    <sheet name="O&amp;M assumptions" sheetId="10" r:id="rId4"/>
    <sheet name="business decision calcs" sheetId="17" r:id="rId5"/>
    <sheet name="provider community calcs" sheetId="8" r:id="rId6"/>
    <sheet name="O&amp;M cost matrix" sheetId="13" r:id="rId7"/>
    <sheet name="revised water usage matrix" sheetId="14" r:id="rId8"/>
  </sheets>
  <definedNames>
    <definedName name="_Hlk171586204" localSheetId="0">Documentation!$A$26</definedName>
    <definedName name="OLE_LINK10" localSheetId="0">Documentation!$A$36</definedName>
    <definedName name="OLE_LINK11" localSheetId="0">Documentation!$A$42</definedName>
    <definedName name="OLE_LINK12" localSheetId="0">Documentation!$A$48</definedName>
    <definedName name="OLE_LINK14" localSheetId="0">Documentation!$A$62</definedName>
    <definedName name="OLE_LINK16" localSheetId="0">Documentation!$A$66</definedName>
    <definedName name="OLE_LINK2" localSheetId="0">Documentation!$A$6</definedName>
    <definedName name="OLE_LINK3" localSheetId="0">Documentation!#REF!</definedName>
    <definedName name="OLE_LINK7" localSheetId="0">Documentation!$A$19</definedName>
    <definedName name="OLE_LINK8" localSheetId="0">Documentation!$A$24</definedName>
    <definedName name="OLE_LINK9" localSheetId="0">Documentation!$A$32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8" l="1"/>
  <c r="I13" i="8"/>
  <c r="K26" i="10"/>
  <c r="L26" i="10"/>
  <c r="M26" i="10"/>
  <c r="J26" i="10"/>
  <c r="C14" i="11"/>
  <c r="B17" i="10"/>
  <c r="B18" i="10" s="1"/>
  <c r="E38" i="11"/>
  <c r="F38" i="11" s="1"/>
  <c r="E39" i="11"/>
  <c r="F39" i="11" s="1"/>
  <c r="E37" i="11"/>
  <c r="F37" i="11" s="1"/>
  <c r="D37" i="11" l="1"/>
  <c r="D39" i="11"/>
  <c r="D38" i="11" l="1"/>
  <c r="G38" i="11" l="1"/>
  <c r="G37" i="11"/>
  <c r="G39" i="11"/>
  <c r="K42" i="10" l="1"/>
  <c r="J42" i="10"/>
  <c r="D28" i="9"/>
  <c r="C18" i="9" l="1"/>
  <c r="E16" i="9"/>
  <c r="E15" i="9"/>
  <c r="E14" i="9"/>
  <c r="E13" i="9"/>
  <c r="E12" i="9"/>
  <c r="M36" i="10"/>
  <c r="L36" i="10"/>
  <c r="J36" i="10"/>
  <c r="M35" i="10"/>
  <c r="M34" i="10"/>
  <c r="J34" i="10"/>
  <c r="M33" i="10"/>
  <c r="J33" i="10"/>
  <c r="K31" i="10"/>
  <c r="K36" i="10" s="1"/>
  <c r="J35" i="10"/>
  <c r="L34" i="10"/>
  <c r="L33" i="10"/>
  <c r="K33" i="10"/>
  <c r="E18" i="9" l="1"/>
  <c r="M37" i="10"/>
  <c r="J37" i="10"/>
  <c r="H18" i="9"/>
  <c r="G18" i="9"/>
  <c r="F18" i="9"/>
  <c r="L35" i="10"/>
  <c r="L37" i="10" s="1"/>
  <c r="K34" i="10"/>
  <c r="K35" i="10" l="1"/>
  <c r="K37" i="10" s="1"/>
  <c r="I12" i="9" l="1"/>
  <c r="I13" i="9"/>
  <c r="I14" i="9"/>
  <c r="I15" i="9"/>
  <c r="I16" i="9"/>
  <c r="D26" i="9" l="1"/>
  <c r="G19" i="9" l="1"/>
  <c r="K13" i="10" s="1"/>
  <c r="F19" i="9"/>
  <c r="H19" i="9"/>
  <c r="L13" i="10" s="1"/>
  <c r="M13" i="10" s="1"/>
  <c r="B14" i="17"/>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A14" i="17"/>
  <c r="L20" i="10"/>
  <c r="L18" i="10"/>
  <c r="I19" i="9" l="1"/>
  <c r="A15" i="17"/>
  <c r="J13" i="10"/>
  <c r="L17" i="10"/>
  <c r="A16" i="17" l="1"/>
  <c r="O36" i="10"/>
  <c r="O35" i="10"/>
  <c r="O33" i="10"/>
  <c r="O34" i="10"/>
  <c r="A12" i="14"/>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E10" i="14"/>
  <c r="F10" i="14" s="1"/>
  <c r="G10" i="14" s="1"/>
  <c r="H10" i="14" s="1"/>
  <c r="I10" i="14" s="1"/>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E11" i="13"/>
  <c r="F11" i="13" s="1"/>
  <c r="G11" i="13" s="1"/>
  <c r="H11" i="13" s="1"/>
  <c r="I11" i="13" s="1"/>
  <c r="J11" i="13" s="1"/>
  <c r="K11" i="13" s="1"/>
  <c r="L11" i="13" s="1"/>
  <c r="M11" i="13" s="1"/>
  <c r="N11" i="13" s="1"/>
  <c r="O11" i="13" s="1"/>
  <c r="P11" i="13" s="1"/>
  <c r="Q11" i="13" s="1"/>
  <c r="R11" i="13" s="1"/>
  <c r="S11" i="13" s="1"/>
  <c r="T11" i="13" s="1"/>
  <c r="U11" i="13" s="1"/>
  <c r="V11" i="13" s="1"/>
  <c r="W11" i="13" s="1"/>
  <c r="X11" i="13" s="1"/>
  <c r="Y11" i="13" s="1"/>
  <c r="Z11" i="13" s="1"/>
  <c r="AA11" i="13" s="1"/>
  <c r="AB11" i="13" s="1"/>
  <c r="AC11" i="13" s="1"/>
  <c r="AD11" i="13" s="1"/>
  <c r="AE11" i="13" s="1"/>
  <c r="AF11" i="13" s="1"/>
  <c r="AG11" i="13"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17" i="17" l="1"/>
  <c r="A18" i="17" l="1"/>
  <c r="M21" i="10"/>
  <c r="A19" i="17" l="1"/>
  <c r="L21" i="10"/>
  <c r="A20" i="17" l="1"/>
  <c r="D13" i="8"/>
  <c r="B14" i="8"/>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A14" i="8"/>
  <c r="G13" i="17" l="1"/>
  <c r="L13" i="17" s="1"/>
  <c r="H13" i="8"/>
  <c r="A15" i="8"/>
  <c r="A21" i="17"/>
  <c r="D13" i="17"/>
  <c r="Q13" i="17" s="1"/>
  <c r="D14" i="8"/>
  <c r="G14" i="17" l="1"/>
  <c r="L14" i="17" s="1"/>
  <c r="H14" i="8"/>
  <c r="J14" i="8" s="1"/>
  <c r="A16" i="8"/>
  <c r="A22" i="17"/>
  <c r="D14" i="17"/>
  <c r="Q14" i="17" s="1"/>
  <c r="E13" i="17"/>
  <c r="B12" i="13"/>
  <c r="B11" i="14"/>
  <c r="D15" i="8"/>
  <c r="G15" i="17" l="1"/>
  <c r="L15" i="17" s="1"/>
  <c r="H15" i="8"/>
  <c r="J15" i="8" s="1"/>
  <c r="A17" i="8"/>
  <c r="A23" i="17"/>
  <c r="K21" i="10"/>
  <c r="E14" i="17"/>
  <c r="M13" i="17"/>
  <c r="N13" i="17" s="1"/>
  <c r="D15" i="17"/>
  <c r="Q15" i="17" s="1"/>
  <c r="B13" i="13"/>
  <c r="B12" i="14"/>
  <c r="D16" i="8"/>
  <c r="G16" i="17" l="1"/>
  <c r="L16" i="17" s="1"/>
  <c r="H16" i="8"/>
  <c r="J16" i="8" s="1"/>
  <c r="A18" i="8"/>
  <c r="A24" i="17"/>
  <c r="D16" i="17"/>
  <c r="Q16" i="17" s="1"/>
  <c r="E15" i="17"/>
  <c r="M14" i="17"/>
  <c r="N14" i="17" s="1"/>
  <c r="B14" i="13"/>
  <c r="B13" i="14"/>
  <c r="D17" i="8"/>
  <c r="G17" i="17" l="1"/>
  <c r="L17" i="17" s="1"/>
  <c r="H17" i="8"/>
  <c r="J17" i="8" s="1"/>
  <c r="A19" i="8"/>
  <c r="A25" i="17"/>
  <c r="O31" i="10"/>
  <c r="O29" i="10"/>
  <c r="G14" i="13" s="1"/>
  <c r="O28" i="10"/>
  <c r="F14" i="13" s="1"/>
  <c r="O30" i="10"/>
  <c r="I14" i="13" s="1"/>
  <c r="B15" i="13"/>
  <c r="B14" i="14"/>
  <c r="D17" i="17"/>
  <c r="Q17" i="17" s="1"/>
  <c r="E16" i="17"/>
  <c r="M15" i="17"/>
  <c r="N15" i="17" s="1"/>
  <c r="O20" i="10"/>
  <c r="O16" i="10"/>
  <c r="O41" i="10"/>
  <c r="G13" i="14" s="1"/>
  <c r="O42" i="10"/>
  <c r="O17" i="10"/>
  <c r="O13" i="10"/>
  <c r="O40" i="10"/>
  <c r="O18" i="10"/>
  <c r="P42" i="10"/>
  <c r="P41" i="10"/>
  <c r="P40" i="10"/>
  <c r="D18" i="8"/>
  <c r="Z14" i="13" l="1"/>
  <c r="AA14" i="13"/>
  <c r="AC14" i="13"/>
  <c r="AH14" i="13"/>
  <c r="O14" i="13"/>
  <c r="J14" i="13"/>
  <c r="AB14" i="13"/>
  <c r="AG14" i="13"/>
  <c r="K14" i="13"/>
  <c r="X14" i="13"/>
  <c r="U14" i="13"/>
  <c r="D12" i="13"/>
  <c r="E13" i="13"/>
  <c r="Q14" i="13"/>
  <c r="AD14" i="13"/>
  <c r="AI14" i="13"/>
  <c r="E12" i="13"/>
  <c r="F13" i="13"/>
  <c r="AF14" i="13"/>
  <c r="P14" i="13"/>
  <c r="X12" i="13"/>
  <c r="Z12" i="13"/>
  <c r="H12" i="13"/>
  <c r="K12" i="13"/>
  <c r="AA12" i="13"/>
  <c r="F12" i="13"/>
  <c r="Y12" i="13"/>
  <c r="AE12" i="13"/>
  <c r="U12" i="13"/>
  <c r="R12" i="13"/>
  <c r="AC12" i="13"/>
  <c r="J12" i="13"/>
  <c r="N12" i="13"/>
  <c r="L12" i="13"/>
  <c r="O12" i="13"/>
  <c r="AF12" i="13"/>
  <c r="I12" i="13"/>
  <c r="G12" i="13"/>
  <c r="Q12" i="13"/>
  <c r="V12" i="13"/>
  <c r="T12" i="13"/>
  <c r="S12" i="13"/>
  <c r="AD12" i="13"/>
  <c r="AB12" i="13"/>
  <c r="P12" i="13"/>
  <c r="AA13" i="13"/>
  <c r="L13" i="13"/>
  <c r="O13" i="13"/>
  <c r="V13" i="13"/>
  <c r="U13" i="13"/>
  <c r="S13" i="13"/>
  <c r="P13" i="13"/>
  <c r="AC13" i="13"/>
  <c r="M13" i="13"/>
  <c r="W13" i="13"/>
  <c r="R13" i="13"/>
  <c r="Q13" i="13"/>
  <c r="J13" i="13"/>
  <c r="AB13" i="13"/>
  <c r="I13" i="13"/>
  <c r="AF13" i="13"/>
  <c r="H13" i="13"/>
  <c r="AD13" i="13"/>
  <c r="Z13" i="13"/>
  <c r="K13" i="13"/>
  <c r="AE13" i="13"/>
  <c r="T13" i="13"/>
  <c r="Y13" i="13"/>
  <c r="G13" i="13"/>
  <c r="AG13" i="13"/>
  <c r="W12" i="13"/>
  <c r="AG12" i="13"/>
  <c r="M12" i="13"/>
  <c r="N13" i="13"/>
  <c r="X13" i="13"/>
  <c r="AH13" i="13"/>
  <c r="L14" i="13"/>
  <c r="R14" i="13"/>
  <c r="T14" i="13"/>
  <c r="AI15" i="13"/>
  <c r="X15" i="13"/>
  <c r="M15" i="13"/>
  <c r="W15" i="13"/>
  <c r="AH15" i="13"/>
  <c r="L15" i="13"/>
  <c r="AJ15" i="13"/>
  <c r="U15" i="13"/>
  <c r="H15" i="13"/>
  <c r="T15" i="13"/>
  <c r="AB15" i="13"/>
  <c r="AG15" i="13"/>
  <c r="G15" i="13"/>
  <c r="AF15" i="13"/>
  <c r="S15" i="13"/>
  <c r="Q15" i="13"/>
  <c r="AE15" i="13"/>
  <c r="R15" i="13"/>
  <c r="AD15" i="13"/>
  <c r="P15" i="13"/>
  <c r="O15" i="13"/>
  <c r="N15" i="13"/>
  <c r="V15" i="13"/>
  <c r="I15" i="13"/>
  <c r="AC15" i="13"/>
  <c r="AA15" i="13"/>
  <c r="K15" i="13"/>
  <c r="Y15" i="13"/>
  <c r="J15" i="13"/>
  <c r="Z15" i="13"/>
  <c r="M14" i="13"/>
  <c r="V14" i="13"/>
  <c r="H14" i="13"/>
  <c r="N14" i="13"/>
  <c r="S14" i="13"/>
  <c r="Y14" i="13"/>
  <c r="W14" i="13"/>
  <c r="AE14" i="13"/>
  <c r="G18" i="17"/>
  <c r="L18" i="17" s="1"/>
  <c r="H18" i="8"/>
  <c r="J18" i="8" s="1"/>
  <c r="A20" i="8"/>
  <c r="A26" i="17"/>
  <c r="H13" i="14"/>
  <c r="I13" i="14" s="1"/>
  <c r="J13" i="14" s="1"/>
  <c r="K13" i="14" s="1"/>
  <c r="L13" i="14" s="1"/>
  <c r="M13" i="14" s="1"/>
  <c r="N13" i="14" s="1"/>
  <c r="O13" i="14" s="1"/>
  <c r="P13" i="14" s="1"/>
  <c r="Q13" i="14" s="1"/>
  <c r="R13" i="14" s="1"/>
  <c r="S13" i="14" s="1"/>
  <c r="T13" i="14" s="1"/>
  <c r="U13" i="14" s="1"/>
  <c r="V13" i="14" s="1"/>
  <c r="W13" i="14" s="1"/>
  <c r="X13" i="14" s="1"/>
  <c r="Y13" i="14" s="1"/>
  <c r="Z13" i="14" s="1"/>
  <c r="AA13" i="14" s="1"/>
  <c r="AB13" i="14" s="1"/>
  <c r="AC13" i="14" s="1"/>
  <c r="AD13" i="14" s="1"/>
  <c r="AE13" i="14" s="1"/>
  <c r="AF13" i="14" s="1"/>
  <c r="AG13" i="14" s="1"/>
  <c r="AH13" i="14" s="1"/>
  <c r="AI13" i="14" s="1"/>
  <c r="D42" i="13"/>
  <c r="S13" i="17" s="1"/>
  <c r="D18" i="17"/>
  <c r="Q18" i="17" s="1"/>
  <c r="E17" i="17"/>
  <c r="M16" i="17"/>
  <c r="N16" i="17" s="1"/>
  <c r="B15" i="14"/>
  <c r="H15" i="14" s="1"/>
  <c r="B16" i="13"/>
  <c r="D11" i="14"/>
  <c r="D41" i="14" s="1"/>
  <c r="H13" i="17" s="1"/>
  <c r="I13" i="17" s="1"/>
  <c r="E12" i="14"/>
  <c r="O19" i="10"/>
  <c r="J21" i="10"/>
  <c r="O21" i="10" s="1"/>
  <c r="D29" i="9"/>
  <c r="F11" i="14"/>
  <c r="G11" i="14" s="1"/>
  <c r="H11" i="14" s="1"/>
  <c r="I11" i="14" s="1"/>
  <c r="J11" i="14" s="1"/>
  <c r="G12" i="14"/>
  <c r="H12" i="14" s="1"/>
  <c r="I12" i="14" s="1"/>
  <c r="J12" i="14" s="1"/>
  <c r="K12" i="14" s="1"/>
  <c r="L12" i="14" s="1"/>
  <c r="M12" i="14" s="1"/>
  <c r="N12" i="14" s="1"/>
  <c r="O12" i="14" s="1"/>
  <c r="P12" i="14" s="1"/>
  <c r="Q12" i="14" s="1"/>
  <c r="R12" i="14" s="1"/>
  <c r="S12" i="14" s="1"/>
  <c r="T12" i="14" s="1"/>
  <c r="U12" i="14" s="1"/>
  <c r="V12" i="14" s="1"/>
  <c r="W12" i="14" s="1"/>
  <c r="X12" i="14" s="1"/>
  <c r="Y12" i="14" s="1"/>
  <c r="Z12" i="14" s="1"/>
  <c r="AA12" i="14" s="1"/>
  <c r="AB12" i="14" s="1"/>
  <c r="AC12" i="14" s="1"/>
  <c r="AD12" i="14" s="1"/>
  <c r="AE12" i="14" s="1"/>
  <c r="AF12" i="14" s="1"/>
  <c r="AG12" i="14" s="1"/>
  <c r="AH12" i="14" s="1"/>
  <c r="E11" i="14"/>
  <c r="F12" i="14"/>
  <c r="F13" i="14"/>
  <c r="I14" i="14"/>
  <c r="J14" i="14" s="1"/>
  <c r="K14" i="14" s="1"/>
  <c r="L14" i="14" s="1"/>
  <c r="M14" i="14" s="1"/>
  <c r="N14" i="14" s="1"/>
  <c r="O14" i="14" s="1"/>
  <c r="P14" i="14" s="1"/>
  <c r="Q14" i="14" s="1"/>
  <c r="R14" i="14" s="1"/>
  <c r="S14" i="14" s="1"/>
  <c r="T14" i="14" s="1"/>
  <c r="U14" i="14" s="1"/>
  <c r="V14" i="14" s="1"/>
  <c r="W14" i="14" s="1"/>
  <c r="X14" i="14" s="1"/>
  <c r="Y14" i="14" s="1"/>
  <c r="Z14" i="14" s="1"/>
  <c r="AA14" i="14" s="1"/>
  <c r="AB14" i="14" s="1"/>
  <c r="AC14" i="14" s="1"/>
  <c r="AD14" i="14" s="1"/>
  <c r="AE14" i="14" s="1"/>
  <c r="AF14" i="14" s="1"/>
  <c r="AG14" i="14" s="1"/>
  <c r="AH14" i="14" s="1"/>
  <c r="AI14" i="14" s="1"/>
  <c r="AJ14" i="14" s="1"/>
  <c r="H14" i="14"/>
  <c r="G14" i="14"/>
  <c r="D19" i="8"/>
  <c r="AB16" i="13" l="1"/>
  <c r="Q16" i="13"/>
  <c r="AA16" i="13"/>
  <c r="P16" i="13"/>
  <c r="AK16" i="13"/>
  <c r="Z16" i="13"/>
  <c r="O16" i="13"/>
  <c r="AJ16" i="13"/>
  <c r="Y16" i="13"/>
  <c r="U16" i="13"/>
  <c r="M16" i="13"/>
  <c r="K16" i="13"/>
  <c r="AI16" i="13"/>
  <c r="T16" i="13"/>
  <c r="N16" i="13"/>
  <c r="AH16" i="13"/>
  <c r="S16" i="13"/>
  <c r="AF16" i="13"/>
  <c r="L16" i="13"/>
  <c r="AC16" i="13"/>
  <c r="AG16" i="13"/>
  <c r="R16" i="13"/>
  <c r="AD16" i="13"/>
  <c r="V16" i="13"/>
  <c r="H16" i="13"/>
  <c r="AE16" i="13"/>
  <c r="W16" i="13"/>
  <c r="X16" i="13"/>
  <c r="J16" i="13"/>
  <c r="I16" i="13"/>
  <c r="G19" i="17"/>
  <c r="L19" i="17" s="1"/>
  <c r="H19" i="8"/>
  <c r="J19" i="8" s="1"/>
  <c r="J13" i="17"/>
  <c r="E13" i="8" s="1"/>
  <c r="R13" i="17"/>
  <c r="A21" i="8"/>
  <c r="A27" i="17"/>
  <c r="E42" i="13"/>
  <c r="S14" i="17" s="1"/>
  <c r="O22" i="10"/>
  <c r="P14" i="17" s="1"/>
  <c r="F42" i="13"/>
  <c r="S15" i="17" s="1"/>
  <c r="D19" i="17"/>
  <c r="Q19" i="17" s="1"/>
  <c r="E18" i="17"/>
  <c r="M17" i="17"/>
  <c r="N17" i="17" s="1"/>
  <c r="B16" i="14"/>
  <c r="J16" i="14" s="1"/>
  <c r="B17" i="13"/>
  <c r="F41" i="14"/>
  <c r="H15" i="17" s="1"/>
  <c r="I15" i="17" s="1"/>
  <c r="G41" i="14"/>
  <c r="H16" i="17" s="1"/>
  <c r="I16" i="17" s="1"/>
  <c r="E41" i="14"/>
  <c r="H14" i="17" s="1"/>
  <c r="I14" i="17" s="1"/>
  <c r="J15" i="14"/>
  <c r="K15" i="14" s="1"/>
  <c r="L15" i="14" s="1"/>
  <c r="M15" i="14" s="1"/>
  <c r="N15" i="14" s="1"/>
  <c r="O15" i="14" s="1"/>
  <c r="P15" i="14" s="1"/>
  <c r="Q15" i="14" s="1"/>
  <c r="R15" i="14" s="1"/>
  <c r="S15" i="14" s="1"/>
  <c r="T15" i="14" s="1"/>
  <c r="U15" i="14" s="1"/>
  <c r="V15" i="14" s="1"/>
  <c r="W15" i="14" s="1"/>
  <c r="X15" i="14" s="1"/>
  <c r="Y15" i="14" s="1"/>
  <c r="Z15" i="14" s="1"/>
  <c r="AA15" i="14" s="1"/>
  <c r="AB15" i="14" s="1"/>
  <c r="AC15" i="14" s="1"/>
  <c r="AD15" i="14" s="1"/>
  <c r="AE15" i="14" s="1"/>
  <c r="AF15" i="14" s="1"/>
  <c r="AG15" i="14" s="1"/>
  <c r="AH15" i="14" s="1"/>
  <c r="AI15" i="14" s="1"/>
  <c r="AJ15" i="14" s="1"/>
  <c r="AK15" i="14" s="1"/>
  <c r="I15" i="14"/>
  <c r="H41" i="14"/>
  <c r="H17" i="17" s="1"/>
  <c r="I17" i="17" s="1"/>
  <c r="K11" i="14"/>
  <c r="D20" i="8"/>
  <c r="AF17" i="13" l="1"/>
  <c r="U17" i="13"/>
  <c r="J17" i="13"/>
  <c r="T17" i="13"/>
  <c r="AE17" i="13"/>
  <c r="I17" i="13"/>
  <c r="AD17" i="13"/>
  <c r="S17" i="13"/>
  <c r="AC17" i="13"/>
  <c r="R17" i="13"/>
  <c r="Z17" i="13"/>
  <c r="K17" i="13"/>
  <c r="AI17" i="13"/>
  <c r="Y17" i="13"/>
  <c r="Q17" i="13"/>
  <c r="P17" i="13"/>
  <c r="X17" i="13"/>
  <c r="AH17" i="13"/>
  <c r="AL17" i="13"/>
  <c r="W17" i="13"/>
  <c r="V17" i="13"/>
  <c r="AJ17" i="13"/>
  <c r="AK17" i="13"/>
  <c r="O17" i="13"/>
  <c r="AA17" i="13"/>
  <c r="L17" i="13"/>
  <c r="M17" i="13"/>
  <c r="AG17" i="13"/>
  <c r="AB17" i="13"/>
  <c r="N17" i="13"/>
  <c r="O13" i="8"/>
  <c r="G13" i="8"/>
  <c r="G20" i="17"/>
  <c r="L20" i="17" s="1"/>
  <c r="H20" i="8"/>
  <c r="J20" i="8" s="1"/>
  <c r="N13" i="8"/>
  <c r="M13" i="8"/>
  <c r="J16" i="17"/>
  <c r="E16" i="8" s="1"/>
  <c r="O16" i="8" s="1"/>
  <c r="R16" i="17"/>
  <c r="J15" i="17"/>
  <c r="E15" i="8" s="1"/>
  <c r="M15" i="8" s="1"/>
  <c r="R15" i="17"/>
  <c r="J17" i="17"/>
  <c r="E17" i="8" s="1"/>
  <c r="R17" i="17"/>
  <c r="J14" i="17"/>
  <c r="E14" i="8" s="1"/>
  <c r="R14" i="17"/>
  <c r="T14" i="17" s="1"/>
  <c r="A22" i="8"/>
  <c r="A28" i="17"/>
  <c r="P16" i="17"/>
  <c r="P18" i="17"/>
  <c r="P17" i="17"/>
  <c r="P15" i="17"/>
  <c r="P19" i="17"/>
  <c r="P13" i="17"/>
  <c r="T13" i="17" s="1"/>
  <c r="G42" i="13"/>
  <c r="S16" i="17" s="1"/>
  <c r="D20" i="17"/>
  <c r="Q20" i="17" s="1"/>
  <c r="E19" i="17"/>
  <c r="M18" i="17"/>
  <c r="N18" i="17" s="1"/>
  <c r="B17" i="14"/>
  <c r="K17" i="14" s="1"/>
  <c r="B18" i="13"/>
  <c r="I16" i="14"/>
  <c r="I41" i="14" s="1"/>
  <c r="H18" i="17" s="1"/>
  <c r="I18" i="17" s="1"/>
  <c r="K16" i="14"/>
  <c r="L16" i="14" s="1"/>
  <c r="M16" i="14" s="1"/>
  <c r="N16" i="14" s="1"/>
  <c r="O16" i="14" s="1"/>
  <c r="P16" i="14" s="1"/>
  <c r="Q16" i="14" s="1"/>
  <c r="R16" i="14" s="1"/>
  <c r="S16" i="14" s="1"/>
  <c r="T16" i="14" s="1"/>
  <c r="U16" i="14" s="1"/>
  <c r="V16" i="14" s="1"/>
  <c r="W16" i="14" s="1"/>
  <c r="X16" i="14" s="1"/>
  <c r="Y16" i="14" s="1"/>
  <c r="Z16" i="14" s="1"/>
  <c r="AA16" i="14" s="1"/>
  <c r="AB16" i="14" s="1"/>
  <c r="AC16" i="14" s="1"/>
  <c r="AD16" i="14" s="1"/>
  <c r="AE16" i="14" s="1"/>
  <c r="AF16" i="14" s="1"/>
  <c r="AG16" i="14" s="1"/>
  <c r="AH16" i="14" s="1"/>
  <c r="AI16" i="14" s="1"/>
  <c r="AJ16" i="14" s="1"/>
  <c r="AK16" i="14" s="1"/>
  <c r="AL16" i="14" s="1"/>
  <c r="L11" i="14"/>
  <c r="D21" i="8"/>
  <c r="AJ18" i="13" l="1"/>
  <c r="Y18" i="13"/>
  <c r="N18" i="13"/>
  <c r="AI18" i="13"/>
  <c r="X18" i="13"/>
  <c r="M18" i="13"/>
  <c r="AH18" i="13"/>
  <c r="W18" i="13"/>
  <c r="L18" i="13"/>
  <c r="AG18" i="13"/>
  <c r="V18" i="13"/>
  <c r="K18" i="13"/>
  <c r="AE18" i="13"/>
  <c r="P18" i="13"/>
  <c r="AA18" i="13"/>
  <c r="AD18" i="13"/>
  <c r="O18" i="13"/>
  <c r="AC18" i="13"/>
  <c r="J18" i="13"/>
  <c r="Z18" i="13"/>
  <c r="T18" i="13"/>
  <c r="AB18" i="13"/>
  <c r="AM18" i="13"/>
  <c r="AF18" i="13"/>
  <c r="Q18" i="13"/>
  <c r="U18" i="13"/>
  <c r="AL18" i="13"/>
  <c r="AK18" i="13"/>
  <c r="S18" i="13"/>
  <c r="R18" i="13"/>
  <c r="G21" i="17"/>
  <c r="L21" i="17" s="1"/>
  <c r="H21" i="8"/>
  <c r="J21" i="8" s="1"/>
  <c r="K13" i="8"/>
  <c r="P13" i="8"/>
  <c r="N16" i="8"/>
  <c r="G16" i="8"/>
  <c r="K16" i="8" s="1"/>
  <c r="N14" i="8"/>
  <c r="O14" i="8"/>
  <c r="M17" i="8"/>
  <c r="O17" i="8"/>
  <c r="N15" i="8"/>
  <c r="O15" i="8"/>
  <c r="M16" i="8"/>
  <c r="M14" i="8"/>
  <c r="G14" i="8"/>
  <c r="K14" i="8" s="1"/>
  <c r="G15" i="8"/>
  <c r="K15" i="8" s="1"/>
  <c r="N17" i="8"/>
  <c r="J18" i="17"/>
  <c r="E18" i="8" s="1"/>
  <c r="M18" i="8" s="1"/>
  <c r="R18" i="17"/>
  <c r="G17" i="8"/>
  <c r="K17" i="8" s="1"/>
  <c r="A23" i="8"/>
  <c r="A29" i="17"/>
  <c r="T15" i="17"/>
  <c r="T16" i="17"/>
  <c r="H42" i="13"/>
  <c r="S17" i="17" s="1"/>
  <c r="T17" i="17" s="1"/>
  <c r="L17" i="14"/>
  <c r="M17" i="14" s="1"/>
  <c r="N17" i="14" s="1"/>
  <c r="O17" i="14" s="1"/>
  <c r="P17" i="14" s="1"/>
  <c r="Q17" i="14" s="1"/>
  <c r="R17" i="14" s="1"/>
  <c r="S17" i="14" s="1"/>
  <c r="T17" i="14" s="1"/>
  <c r="U17" i="14" s="1"/>
  <c r="V17" i="14" s="1"/>
  <c r="W17" i="14" s="1"/>
  <c r="X17" i="14" s="1"/>
  <c r="Y17" i="14" s="1"/>
  <c r="Z17" i="14" s="1"/>
  <c r="AA17" i="14" s="1"/>
  <c r="AB17" i="14" s="1"/>
  <c r="AC17" i="14" s="1"/>
  <c r="AD17" i="14" s="1"/>
  <c r="AE17" i="14" s="1"/>
  <c r="AF17" i="14" s="1"/>
  <c r="AG17" i="14" s="1"/>
  <c r="AH17" i="14" s="1"/>
  <c r="AI17" i="14" s="1"/>
  <c r="AJ17" i="14" s="1"/>
  <c r="AK17" i="14" s="1"/>
  <c r="AL17" i="14" s="1"/>
  <c r="AM17" i="14" s="1"/>
  <c r="J17" i="14"/>
  <c r="J41" i="14" s="1"/>
  <c r="H19" i="17" s="1"/>
  <c r="I19" i="17" s="1"/>
  <c r="E20" i="17"/>
  <c r="M19" i="17"/>
  <c r="N19" i="17" s="1"/>
  <c r="D21" i="17"/>
  <c r="Q21" i="17" s="1"/>
  <c r="B19" i="13"/>
  <c r="B18" i="14"/>
  <c r="K18" i="14" s="1"/>
  <c r="K41" i="14" s="1"/>
  <c r="H20" i="17" s="1"/>
  <c r="I20" i="17" s="1"/>
  <c r="P20" i="17"/>
  <c r="M11" i="14"/>
  <c r="D22" i="8"/>
  <c r="AN19" i="13" l="1"/>
  <c r="AC19" i="13"/>
  <c r="R19" i="13"/>
  <c r="AM19" i="13"/>
  <c r="AB19" i="13"/>
  <c r="Q19" i="13"/>
  <c r="AL19" i="13"/>
  <c r="AA19" i="13"/>
  <c r="P19" i="13"/>
  <c r="AK19" i="13"/>
  <c r="Z19" i="13"/>
  <c r="O19" i="13"/>
  <c r="AJ19" i="13"/>
  <c r="U19" i="13"/>
  <c r="Y19" i="13"/>
  <c r="AI19" i="13"/>
  <c r="T19" i="13"/>
  <c r="AF19" i="13"/>
  <c r="AH19" i="13"/>
  <c r="S19" i="13"/>
  <c r="M19" i="13"/>
  <c r="AD19" i="13"/>
  <c r="AG19" i="13"/>
  <c r="N19" i="13"/>
  <c r="AE19" i="13"/>
  <c r="L19" i="13"/>
  <c r="K19" i="13"/>
  <c r="K42" i="13" s="1"/>
  <c r="S20" i="17" s="1"/>
  <c r="V19" i="13"/>
  <c r="X19" i="13"/>
  <c r="W19" i="13"/>
  <c r="G22" i="17"/>
  <c r="L22" i="17" s="1"/>
  <c r="H22" i="8"/>
  <c r="J22" i="8" s="1"/>
  <c r="P16" i="8"/>
  <c r="P15" i="8"/>
  <c r="P17" i="8"/>
  <c r="G18" i="8"/>
  <c r="K18" i="8" s="1"/>
  <c r="C44" i="9" s="1"/>
  <c r="O18" i="8"/>
  <c r="P14" i="8"/>
  <c r="N18" i="8"/>
  <c r="J19" i="17"/>
  <c r="E19" i="8" s="1"/>
  <c r="R19" i="17"/>
  <c r="J20" i="17"/>
  <c r="E20" i="8" s="1"/>
  <c r="M20" i="8" s="1"/>
  <c r="R20" i="17"/>
  <c r="A24" i="8"/>
  <c r="A30" i="17"/>
  <c r="J42" i="13"/>
  <c r="S19" i="17" s="1"/>
  <c r="I42" i="13"/>
  <c r="S18" i="17" s="1"/>
  <c r="T18" i="17" s="1"/>
  <c r="E21" i="17"/>
  <c r="M20" i="17"/>
  <c r="N20" i="17" s="1"/>
  <c r="B19" i="14"/>
  <c r="L19" i="14" s="1"/>
  <c r="B20" i="13"/>
  <c r="P21" i="17"/>
  <c r="D22" i="17"/>
  <c r="Q22" i="17" s="1"/>
  <c r="L18" i="14"/>
  <c r="M18" i="14"/>
  <c r="N18" i="14" s="1"/>
  <c r="O18" i="14" s="1"/>
  <c r="P18" i="14" s="1"/>
  <c r="Q18" i="14" s="1"/>
  <c r="R18" i="14" s="1"/>
  <c r="S18" i="14" s="1"/>
  <c r="T18" i="14" s="1"/>
  <c r="U18" i="14" s="1"/>
  <c r="V18" i="14" s="1"/>
  <c r="W18" i="14" s="1"/>
  <c r="X18" i="14" s="1"/>
  <c r="Y18" i="14" s="1"/>
  <c r="Z18" i="14" s="1"/>
  <c r="AA18" i="14" s="1"/>
  <c r="AB18" i="14" s="1"/>
  <c r="AC18" i="14" s="1"/>
  <c r="AD18" i="14" s="1"/>
  <c r="AE18" i="14" s="1"/>
  <c r="AF18" i="14" s="1"/>
  <c r="AG18" i="14" s="1"/>
  <c r="AH18" i="14" s="1"/>
  <c r="AI18" i="14" s="1"/>
  <c r="AJ18" i="14" s="1"/>
  <c r="AK18" i="14" s="1"/>
  <c r="AL18" i="14" s="1"/>
  <c r="AM18" i="14" s="1"/>
  <c r="AN18" i="14" s="1"/>
  <c r="N11" i="14"/>
  <c r="D23" i="8"/>
  <c r="AG20" i="13" l="1"/>
  <c r="V20" i="13"/>
  <c r="AF20" i="13"/>
  <c r="U20" i="13"/>
  <c r="AE20" i="13"/>
  <c r="T20" i="13"/>
  <c r="AO20" i="13"/>
  <c r="AD20" i="13"/>
  <c r="S20" i="13"/>
  <c r="Z20" i="13"/>
  <c r="AK20" i="13"/>
  <c r="AJ20" i="13"/>
  <c r="P20" i="13"/>
  <c r="AN20" i="13"/>
  <c r="Y20" i="13"/>
  <c r="O20" i="13"/>
  <c r="AM20" i="13"/>
  <c r="X20" i="13"/>
  <c r="AL20" i="13"/>
  <c r="W20" i="13"/>
  <c r="R20" i="13"/>
  <c r="AI20" i="13"/>
  <c r="AA20" i="13"/>
  <c r="L20" i="13"/>
  <c r="L42" i="13" s="1"/>
  <c r="S21" i="17" s="1"/>
  <c r="Q20" i="13"/>
  <c r="AH20" i="13"/>
  <c r="N20" i="13"/>
  <c r="M20" i="13"/>
  <c r="AC20" i="13"/>
  <c r="AB20" i="13"/>
  <c r="G23" i="17"/>
  <c r="L23" i="17" s="1"/>
  <c r="H23" i="8"/>
  <c r="J23" i="8" s="1"/>
  <c r="P18" i="8"/>
  <c r="N20" i="8"/>
  <c r="O20" i="8"/>
  <c r="N19" i="8"/>
  <c r="O19" i="8"/>
  <c r="G19" i="8"/>
  <c r="K19" i="8" s="1"/>
  <c r="M19" i="8"/>
  <c r="G20" i="8"/>
  <c r="K20" i="8" s="1"/>
  <c r="A25" i="8"/>
  <c r="A31" i="17"/>
  <c r="T19" i="17"/>
  <c r="M19" i="14"/>
  <c r="N19" i="14"/>
  <c r="O19" i="14" s="1"/>
  <c r="P19" i="14" s="1"/>
  <c r="Q19" i="14" s="1"/>
  <c r="R19" i="14" s="1"/>
  <c r="S19" i="14" s="1"/>
  <c r="T19" i="14" s="1"/>
  <c r="U19" i="14" s="1"/>
  <c r="V19" i="14" s="1"/>
  <c r="W19" i="14" s="1"/>
  <c r="X19" i="14" s="1"/>
  <c r="Y19" i="14" s="1"/>
  <c r="Z19" i="14" s="1"/>
  <c r="AA19" i="14" s="1"/>
  <c r="AB19" i="14" s="1"/>
  <c r="AC19" i="14" s="1"/>
  <c r="AD19" i="14" s="1"/>
  <c r="AE19" i="14" s="1"/>
  <c r="AF19" i="14" s="1"/>
  <c r="AG19" i="14" s="1"/>
  <c r="AH19" i="14" s="1"/>
  <c r="AI19" i="14" s="1"/>
  <c r="AJ19" i="14" s="1"/>
  <c r="AK19" i="14" s="1"/>
  <c r="AL19" i="14" s="1"/>
  <c r="AM19" i="14" s="1"/>
  <c r="AN19" i="14" s="1"/>
  <c r="AO19" i="14" s="1"/>
  <c r="B20" i="14"/>
  <c r="M20" i="14" s="1"/>
  <c r="B21" i="13"/>
  <c r="P22" i="17"/>
  <c r="D23" i="17"/>
  <c r="Q23" i="17" s="1"/>
  <c r="M21" i="17"/>
  <c r="N21" i="17" s="1"/>
  <c r="E22" i="17"/>
  <c r="L41" i="14"/>
  <c r="H21" i="17" s="1"/>
  <c r="T20" i="17"/>
  <c r="O11" i="14"/>
  <c r="D24" i="8"/>
  <c r="AK21" i="13" l="1"/>
  <c r="Z21" i="13"/>
  <c r="O21" i="13"/>
  <c r="AJ21" i="13"/>
  <c r="Y21" i="13"/>
  <c r="N21" i="13"/>
  <c r="AI21" i="13"/>
  <c r="X21" i="13"/>
  <c r="M21" i="13"/>
  <c r="M42" i="13" s="1"/>
  <c r="S22" i="17" s="1"/>
  <c r="AH21" i="13"/>
  <c r="W21" i="13"/>
  <c r="AN21" i="13"/>
  <c r="AC21" i="13"/>
  <c r="AF21" i="13"/>
  <c r="P21" i="13"/>
  <c r="AE21" i="13"/>
  <c r="U21" i="13"/>
  <c r="AD21" i="13"/>
  <c r="T21" i="13"/>
  <c r="AB21" i="13"/>
  <c r="V21" i="13"/>
  <c r="AA21" i="13"/>
  <c r="AO21" i="13"/>
  <c r="AG21" i="13"/>
  <c r="Q21" i="13"/>
  <c r="AP21" i="13"/>
  <c r="AM21" i="13"/>
  <c r="R21" i="13"/>
  <c r="AL21" i="13"/>
  <c r="S21" i="13"/>
  <c r="G24" i="17"/>
  <c r="L24" i="17" s="1"/>
  <c r="H24" i="8"/>
  <c r="J24" i="8" s="1"/>
  <c r="P20" i="8"/>
  <c r="P19" i="8"/>
  <c r="A26" i="8"/>
  <c r="I21" i="17"/>
  <c r="A32" i="17"/>
  <c r="M41" i="14"/>
  <c r="H22" i="17" s="1"/>
  <c r="B22" i="13"/>
  <c r="B21" i="14"/>
  <c r="N21" i="14" s="1"/>
  <c r="P23" i="17"/>
  <c r="E23" i="17"/>
  <c r="M22" i="17"/>
  <c r="N22" i="17" s="1"/>
  <c r="D24" i="17"/>
  <c r="Q24" i="17" s="1"/>
  <c r="N20" i="14"/>
  <c r="O20" i="14"/>
  <c r="P20" i="14" s="1"/>
  <c r="Q20" i="14" s="1"/>
  <c r="R20" i="14" s="1"/>
  <c r="S20" i="14" s="1"/>
  <c r="T20" i="14" s="1"/>
  <c r="U20" i="14" s="1"/>
  <c r="V20" i="14" s="1"/>
  <c r="W20" i="14" s="1"/>
  <c r="X20" i="14" s="1"/>
  <c r="Y20" i="14" s="1"/>
  <c r="Z20" i="14" s="1"/>
  <c r="AA20" i="14" s="1"/>
  <c r="AB20" i="14" s="1"/>
  <c r="AC20" i="14" s="1"/>
  <c r="AD20" i="14" s="1"/>
  <c r="AE20" i="14" s="1"/>
  <c r="AF20" i="14" s="1"/>
  <c r="AG20" i="14" s="1"/>
  <c r="AH20" i="14" s="1"/>
  <c r="AI20" i="14" s="1"/>
  <c r="AJ20" i="14" s="1"/>
  <c r="AK20" i="14" s="1"/>
  <c r="AL20" i="14" s="1"/>
  <c r="AM20" i="14" s="1"/>
  <c r="AN20" i="14" s="1"/>
  <c r="AO20" i="14" s="1"/>
  <c r="AP20" i="14" s="1"/>
  <c r="P11" i="14"/>
  <c r="D25" i="8"/>
  <c r="AO22" i="13" l="1"/>
  <c r="AD22" i="13"/>
  <c r="S22" i="13"/>
  <c r="AN22" i="13"/>
  <c r="AC22" i="13"/>
  <c r="R22" i="13"/>
  <c r="AM22" i="13"/>
  <c r="AB22" i="13"/>
  <c r="Q22" i="13"/>
  <c r="AL22" i="13"/>
  <c r="AA22" i="13"/>
  <c r="P22" i="13"/>
  <c r="AG22" i="13"/>
  <c r="V22" i="13"/>
  <c r="X22" i="13"/>
  <c r="AI22" i="13"/>
  <c r="AF22" i="13"/>
  <c r="AQ22" i="13"/>
  <c r="W22" i="13"/>
  <c r="AP22" i="13"/>
  <c r="U22" i="13"/>
  <c r="O22" i="13"/>
  <c r="N22" i="13"/>
  <c r="N42" i="13" s="1"/>
  <c r="S23" i="17" s="1"/>
  <c r="AK22" i="13"/>
  <c r="T22" i="13"/>
  <c r="AJ22" i="13"/>
  <c r="AH22" i="13"/>
  <c r="Y22" i="13"/>
  <c r="AE22" i="13"/>
  <c r="Z22" i="13"/>
  <c r="G25" i="17"/>
  <c r="L25" i="17" s="1"/>
  <c r="H25" i="8"/>
  <c r="J25" i="8" s="1"/>
  <c r="J21" i="17"/>
  <c r="E21" i="8" s="1"/>
  <c r="O21" i="8" s="1"/>
  <c r="R21" i="17"/>
  <c r="T21" i="17" s="1"/>
  <c r="A27" i="8"/>
  <c r="I22" i="17"/>
  <c r="A33" i="17"/>
  <c r="B23" i="13"/>
  <c r="B22" i="14"/>
  <c r="Q22" i="14" s="1"/>
  <c r="R22" i="14" s="1"/>
  <c r="S22" i="14" s="1"/>
  <c r="T22" i="14" s="1"/>
  <c r="U22" i="14" s="1"/>
  <c r="V22" i="14" s="1"/>
  <c r="W22" i="14" s="1"/>
  <c r="X22" i="14" s="1"/>
  <c r="Y22" i="14" s="1"/>
  <c r="Z22" i="14" s="1"/>
  <c r="AA22" i="14" s="1"/>
  <c r="AB22" i="14" s="1"/>
  <c r="AC22" i="14" s="1"/>
  <c r="AD22" i="14" s="1"/>
  <c r="AE22" i="14" s="1"/>
  <c r="AF22" i="14" s="1"/>
  <c r="AG22" i="14" s="1"/>
  <c r="AH22" i="14" s="1"/>
  <c r="AI22" i="14" s="1"/>
  <c r="AJ22" i="14" s="1"/>
  <c r="AK22" i="14" s="1"/>
  <c r="AL22" i="14" s="1"/>
  <c r="AM22" i="14" s="1"/>
  <c r="AN22" i="14" s="1"/>
  <c r="AO22" i="14" s="1"/>
  <c r="AP22" i="14" s="1"/>
  <c r="AQ22" i="14" s="1"/>
  <c r="AR22" i="14" s="1"/>
  <c r="P24" i="17"/>
  <c r="D25" i="17"/>
  <c r="Q25" i="17" s="1"/>
  <c r="M23" i="17"/>
  <c r="N23" i="17" s="1"/>
  <c r="E24" i="17"/>
  <c r="N41" i="14"/>
  <c r="O21" i="14"/>
  <c r="P21" i="14"/>
  <c r="Q21" i="14" s="1"/>
  <c r="R21" i="14" s="1"/>
  <c r="S21" i="14" s="1"/>
  <c r="T21" i="14" s="1"/>
  <c r="U21" i="14" s="1"/>
  <c r="V21" i="14" s="1"/>
  <c r="W21" i="14" s="1"/>
  <c r="X21" i="14" s="1"/>
  <c r="Y21" i="14" s="1"/>
  <c r="Z21" i="14" s="1"/>
  <c r="AA21" i="14" s="1"/>
  <c r="AB21" i="14" s="1"/>
  <c r="AC21" i="14" s="1"/>
  <c r="AD21" i="14" s="1"/>
  <c r="AE21" i="14" s="1"/>
  <c r="AF21" i="14" s="1"/>
  <c r="AG21" i="14" s="1"/>
  <c r="AH21" i="14" s="1"/>
  <c r="AI21" i="14" s="1"/>
  <c r="AJ21" i="14" s="1"/>
  <c r="AK21" i="14" s="1"/>
  <c r="AL21" i="14" s="1"/>
  <c r="AM21" i="14" s="1"/>
  <c r="AN21" i="14" s="1"/>
  <c r="AO21" i="14" s="1"/>
  <c r="AP21" i="14" s="1"/>
  <c r="AQ21" i="14" s="1"/>
  <c r="Q11" i="14"/>
  <c r="D26" i="8"/>
  <c r="AH23" i="13" l="1"/>
  <c r="W23" i="13"/>
  <c r="AR23" i="13"/>
  <c r="AG23" i="13"/>
  <c r="V23" i="13"/>
  <c r="AQ23" i="13"/>
  <c r="AF23" i="13"/>
  <c r="U23" i="13"/>
  <c r="AP23" i="13"/>
  <c r="AE23" i="13"/>
  <c r="T23" i="13"/>
  <c r="AK23" i="13"/>
  <c r="Z23" i="13"/>
  <c r="O23" i="13"/>
  <c r="O42" i="13" s="1"/>
  <c r="S24" i="17" s="1"/>
  <c r="AJ23" i="13"/>
  <c r="P23" i="13"/>
  <c r="AI23" i="13"/>
  <c r="AB23" i="13"/>
  <c r="AD23" i="13"/>
  <c r="AA23" i="13"/>
  <c r="Y23" i="13"/>
  <c r="AC23" i="13"/>
  <c r="X23" i="13"/>
  <c r="AL23" i="13"/>
  <c r="Q23" i="13"/>
  <c r="AO23" i="13"/>
  <c r="AM23" i="13"/>
  <c r="S23" i="13"/>
  <c r="R23" i="13"/>
  <c r="AN23" i="13"/>
  <c r="G26" i="17"/>
  <c r="L26" i="17" s="1"/>
  <c r="H26" i="8"/>
  <c r="J26" i="8" s="1"/>
  <c r="G21" i="8"/>
  <c r="N21" i="8"/>
  <c r="M21" i="8"/>
  <c r="J22" i="17"/>
  <c r="E22" i="8" s="1"/>
  <c r="O22" i="8" s="1"/>
  <c r="R22" i="17"/>
  <c r="T22" i="17" s="1"/>
  <c r="A28" i="8"/>
  <c r="A34" i="17"/>
  <c r="E25" i="17"/>
  <c r="M24" i="17"/>
  <c r="N24" i="17" s="1"/>
  <c r="B23" i="14"/>
  <c r="P23" i="14" s="1"/>
  <c r="B24" i="13"/>
  <c r="P25" i="17"/>
  <c r="D26" i="17"/>
  <c r="Q26" i="17" s="1"/>
  <c r="H23" i="17"/>
  <c r="I23" i="17" s="1"/>
  <c r="O22" i="14"/>
  <c r="O41" i="14" s="1"/>
  <c r="P22" i="14"/>
  <c r="R11" i="14"/>
  <c r="D27" i="8"/>
  <c r="AL24" i="13" l="1"/>
  <c r="AA24" i="13"/>
  <c r="P24" i="13"/>
  <c r="AK24" i="13"/>
  <c r="Z24" i="13"/>
  <c r="AJ24" i="13"/>
  <c r="Y24" i="13"/>
  <c r="AI24" i="13"/>
  <c r="X24" i="13"/>
  <c r="AO24" i="13"/>
  <c r="AD24" i="13"/>
  <c r="S24" i="13"/>
  <c r="AS24" i="13"/>
  <c r="AB24" i="13"/>
  <c r="T24" i="13"/>
  <c r="AM24" i="13"/>
  <c r="AH24" i="13"/>
  <c r="AR24" i="13"/>
  <c r="W24" i="13"/>
  <c r="R24" i="13"/>
  <c r="AG24" i="13"/>
  <c r="AQ24" i="13"/>
  <c r="V24" i="13"/>
  <c r="AN24" i="13"/>
  <c r="AP24" i="13"/>
  <c r="U24" i="13"/>
  <c r="Q24" i="13"/>
  <c r="AC24" i="13"/>
  <c r="AF24" i="13"/>
  <c r="AE24" i="13"/>
  <c r="G27" i="17"/>
  <c r="L27" i="17" s="1"/>
  <c r="H27" i="8"/>
  <c r="J27" i="8" s="1"/>
  <c r="K21" i="8"/>
  <c r="N22" i="8"/>
  <c r="M22" i="8"/>
  <c r="G22" i="8"/>
  <c r="K22" i="8" s="1"/>
  <c r="P21" i="8"/>
  <c r="J23" i="17"/>
  <c r="E23" i="8" s="1"/>
  <c r="O23" i="8" s="1"/>
  <c r="R23" i="17"/>
  <c r="T23" i="17" s="1"/>
  <c r="A29" i="8"/>
  <c r="A35" i="17"/>
  <c r="P42" i="13"/>
  <c r="D27" i="17"/>
  <c r="Q27" i="17" s="1"/>
  <c r="B24" i="14"/>
  <c r="S24" i="14" s="1"/>
  <c r="T24" i="14" s="1"/>
  <c r="U24" i="14" s="1"/>
  <c r="V24" i="14" s="1"/>
  <c r="W24" i="14" s="1"/>
  <c r="X24" i="14" s="1"/>
  <c r="Y24" i="14" s="1"/>
  <c r="Z24" i="14" s="1"/>
  <c r="AA24" i="14" s="1"/>
  <c r="AB24" i="14" s="1"/>
  <c r="AC24" i="14" s="1"/>
  <c r="AD24" i="14" s="1"/>
  <c r="AE24" i="14" s="1"/>
  <c r="AF24" i="14" s="1"/>
  <c r="AG24" i="14" s="1"/>
  <c r="AH24" i="14" s="1"/>
  <c r="AI24" i="14" s="1"/>
  <c r="AJ24" i="14" s="1"/>
  <c r="AK24" i="14" s="1"/>
  <c r="AL24" i="14" s="1"/>
  <c r="AM24" i="14" s="1"/>
  <c r="AN24" i="14" s="1"/>
  <c r="AO24" i="14" s="1"/>
  <c r="AP24" i="14" s="1"/>
  <c r="AQ24" i="14" s="1"/>
  <c r="AR24" i="14" s="1"/>
  <c r="AS24" i="14" s="1"/>
  <c r="AT24" i="14" s="1"/>
  <c r="B25" i="13"/>
  <c r="P26" i="17"/>
  <c r="M25" i="17"/>
  <c r="N25" i="17" s="1"/>
  <c r="E26" i="17"/>
  <c r="H24" i="17"/>
  <c r="I24" i="17" s="1"/>
  <c r="P41" i="14"/>
  <c r="R23" i="14"/>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Q23" i="14"/>
  <c r="S11" i="14"/>
  <c r="D28" i="8"/>
  <c r="AP25" i="13" l="1"/>
  <c r="AE25" i="13"/>
  <c r="T25" i="13"/>
  <c r="AO25" i="13"/>
  <c r="AD25" i="13"/>
  <c r="S25" i="13"/>
  <c r="AN25" i="13"/>
  <c r="AC25" i="13"/>
  <c r="R25" i="13"/>
  <c r="AM25" i="13"/>
  <c r="AB25" i="13"/>
  <c r="Q25" i="13"/>
  <c r="AS25" i="13"/>
  <c r="AH25" i="13"/>
  <c r="W25" i="13"/>
  <c r="AK25" i="13"/>
  <c r="AJ25" i="13"/>
  <c r="Z25" i="13"/>
  <c r="AI25" i="13"/>
  <c r="AT25" i="13"/>
  <c r="AG25" i="13"/>
  <c r="AF25" i="13"/>
  <c r="AA25" i="13"/>
  <c r="Y25" i="13"/>
  <c r="AL25" i="13"/>
  <c r="U25" i="13"/>
  <c r="AR25" i="13"/>
  <c r="AQ25" i="13"/>
  <c r="V25" i="13"/>
  <c r="X25" i="13"/>
  <c r="G28" i="17"/>
  <c r="L28" i="17" s="1"/>
  <c r="H28" i="8"/>
  <c r="J28" i="8" s="1"/>
  <c r="P22" i="8"/>
  <c r="M23" i="8"/>
  <c r="G23" i="8"/>
  <c r="K23" i="8" s="1"/>
  <c r="D44" i="9" s="1"/>
  <c r="N23" i="8"/>
  <c r="J24" i="17"/>
  <c r="E24" i="8" s="1"/>
  <c r="O24" i="8" s="1"/>
  <c r="R24" i="17"/>
  <c r="T24" i="17" s="1"/>
  <c r="A30" i="8"/>
  <c r="A36" i="17"/>
  <c r="Q42" i="13"/>
  <c r="S26" i="17" s="1"/>
  <c r="M26" i="17"/>
  <c r="N26" i="17" s="1"/>
  <c r="E27" i="17"/>
  <c r="B26" i="13"/>
  <c r="B25" i="14"/>
  <c r="T25" i="14" s="1"/>
  <c r="U25" i="14" s="1"/>
  <c r="V25" i="14" s="1"/>
  <c r="W25" i="14" s="1"/>
  <c r="X25" i="14" s="1"/>
  <c r="Y25" i="14" s="1"/>
  <c r="Z25" i="14" s="1"/>
  <c r="AA25" i="14" s="1"/>
  <c r="AB25" i="14" s="1"/>
  <c r="AC25" i="14" s="1"/>
  <c r="AD25" i="14" s="1"/>
  <c r="AE25" i="14" s="1"/>
  <c r="AF25" i="14" s="1"/>
  <c r="AG25" i="14" s="1"/>
  <c r="AH25" i="14" s="1"/>
  <c r="AI25" i="14" s="1"/>
  <c r="AJ25" i="14" s="1"/>
  <c r="AK25" i="14" s="1"/>
  <c r="AL25" i="14" s="1"/>
  <c r="AM25" i="14" s="1"/>
  <c r="AN25" i="14" s="1"/>
  <c r="AO25" i="14" s="1"/>
  <c r="AP25" i="14" s="1"/>
  <c r="AQ25" i="14" s="1"/>
  <c r="AR25" i="14" s="1"/>
  <c r="AS25" i="14" s="1"/>
  <c r="AT25" i="14" s="1"/>
  <c r="AU25" i="14" s="1"/>
  <c r="P27" i="17"/>
  <c r="D28" i="17"/>
  <c r="Q28" i="17" s="1"/>
  <c r="H25" i="17"/>
  <c r="I25" i="17" s="1"/>
  <c r="S25" i="17"/>
  <c r="Q24" i="14"/>
  <c r="Q41" i="14" s="1"/>
  <c r="H26" i="17" s="1"/>
  <c r="I26" i="17" s="1"/>
  <c r="R24" i="14"/>
  <c r="D29" i="8"/>
  <c r="T11" i="14"/>
  <c r="AT26" i="13" l="1"/>
  <c r="AI26" i="13"/>
  <c r="X26" i="13"/>
  <c r="AS26" i="13"/>
  <c r="AH26" i="13"/>
  <c r="W26" i="13"/>
  <c r="AR26" i="13"/>
  <c r="AG26" i="13"/>
  <c r="V26" i="13"/>
  <c r="AQ26" i="13"/>
  <c r="AF26" i="13"/>
  <c r="U26" i="13"/>
  <c r="AL26" i="13"/>
  <c r="AA26" i="13"/>
  <c r="AC26" i="13"/>
  <c r="AO26" i="13"/>
  <c r="AN26" i="13"/>
  <c r="AK26" i="13"/>
  <c r="AB26" i="13"/>
  <c r="AU26" i="13"/>
  <c r="Z26" i="13"/>
  <c r="S26" i="13"/>
  <c r="R26" i="13"/>
  <c r="R42" i="13" s="1"/>
  <c r="S27" i="17" s="1"/>
  <c r="AP26" i="13"/>
  <c r="Y26" i="13"/>
  <c r="T26" i="13"/>
  <c r="AD26" i="13"/>
  <c r="AM26" i="13"/>
  <c r="AJ26" i="13"/>
  <c r="AE26" i="13"/>
  <c r="G29" i="17"/>
  <c r="L29" i="17" s="1"/>
  <c r="H29" i="8"/>
  <c r="J29" i="8" s="1"/>
  <c r="P23" i="8"/>
  <c r="N24" i="8"/>
  <c r="M24" i="8"/>
  <c r="G24" i="8"/>
  <c r="K24" i="8" s="1"/>
  <c r="J26" i="17"/>
  <c r="E26" i="8" s="1"/>
  <c r="O26" i="8" s="1"/>
  <c r="R26" i="17"/>
  <c r="T26" i="17" s="1"/>
  <c r="J25" i="17"/>
  <c r="E25" i="8" s="1"/>
  <c r="R25" i="17"/>
  <c r="T25" i="17" s="1"/>
  <c r="A31" i="8"/>
  <c r="A37" i="17"/>
  <c r="S25" i="14"/>
  <c r="D29" i="17"/>
  <c r="Q29" i="17" s="1"/>
  <c r="B26" i="14"/>
  <c r="U26" i="14" s="1"/>
  <c r="V26" i="14" s="1"/>
  <c r="W26" i="14" s="1"/>
  <c r="X26" i="14" s="1"/>
  <c r="Y26" i="14" s="1"/>
  <c r="Z26" i="14" s="1"/>
  <c r="AA26" i="14" s="1"/>
  <c r="AB26" i="14" s="1"/>
  <c r="AC26" i="14" s="1"/>
  <c r="AD26" i="14" s="1"/>
  <c r="AE26" i="14" s="1"/>
  <c r="AF26" i="14" s="1"/>
  <c r="AG26" i="14" s="1"/>
  <c r="AH26" i="14" s="1"/>
  <c r="AI26" i="14" s="1"/>
  <c r="AJ26" i="14" s="1"/>
  <c r="AK26" i="14" s="1"/>
  <c r="AL26" i="14" s="1"/>
  <c r="AM26" i="14" s="1"/>
  <c r="AN26" i="14" s="1"/>
  <c r="AO26" i="14" s="1"/>
  <c r="AP26" i="14" s="1"/>
  <c r="AQ26" i="14" s="1"/>
  <c r="AR26" i="14" s="1"/>
  <c r="AS26" i="14" s="1"/>
  <c r="AT26" i="14" s="1"/>
  <c r="AU26" i="14" s="1"/>
  <c r="AV26" i="14" s="1"/>
  <c r="B27" i="13"/>
  <c r="P28" i="17"/>
  <c r="M27" i="17"/>
  <c r="N27" i="17" s="1"/>
  <c r="E28" i="17"/>
  <c r="R25" i="14"/>
  <c r="R41" i="14" s="1"/>
  <c r="H27" i="17" s="1"/>
  <c r="I27" i="17" s="1"/>
  <c r="D30" i="8"/>
  <c r="U11" i="14"/>
  <c r="AM27" i="13" l="1"/>
  <c r="AB27" i="13"/>
  <c r="AL27" i="13"/>
  <c r="AA27" i="13"/>
  <c r="AV27" i="13"/>
  <c r="AK27" i="13"/>
  <c r="Z27" i="13"/>
  <c r="AU27" i="13"/>
  <c r="AJ27" i="13"/>
  <c r="Y27" i="13"/>
  <c r="AP27" i="13"/>
  <c r="AE27" i="13"/>
  <c r="T27" i="13"/>
  <c r="AO27" i="13"/>
  <c r="U27" i="13"/>
  <c r="AF27" i="13"/>
  <c r="AN27" i="13"/>
  <c r="S27" i="13"/>
  <c r="S42" i="13" s="1"/>
  <c r="S28" i="17" s="1"/>
  <c r="AG27" i="13"/>
  <c r="AI27" i="13"/>
  <c r="AH27" i="13"/>
  <c r="AT27" i="13"/>
  <c r="AD27" i="13"/>
  <c r="AQ27" i="13"/>
  <c r="V27" i="13"/>
  <c r="AC27" i="13"/>
  <c r="X27" i="13"/>
  <c r="W27" i="13"/>
  <c r="AS27" i="13"/>
  <c r="AR27" i="13"/>
  <c r="G30" i="17"/>
  <c r="L30" i="17" s="1"/>
  <c r="H30" i="8"/>
  <c r="J30" i="8" s="1"/>
  <c r="P24" i="8"/>
  <c r="M26" i="8"/>
  <c r="N26" i="8"/>
  <c r="G26" i="8"/>
  <c r="K26" i="8" s="1"/>
  <c r="N25" i="8"/>
  <c r="O25" i="8"/>
  <c r="G25" i="8"/>
  <c r="K25" i="8" s="1"/>
  <c r="M25" i="8"/>
  <c r="J27" i="17"/>
  <c r="E27" i="8" s="1"/>
  <c r="R27" i="17"/>
  <c r="T27" i="17" s="1"/>
  <c r="A32" i="8"/>
  <c r="A38" i="17"/>
  <c r="E29" i="17"/>
  <c r="M28" i="17"/>
  <c r="N28" i="17" s="1"/>
  <c r="D30" i="17"/>
  <c r="Q30" i="17" s="1"/>
  <c r="B27" i="14"/>
  <c r="B28" i="13"/>
  <c r="P29" i="17"/>
  <c r="S26" i="14"/>
  <c r="S41" i="14" s="1"/>
  <c r="H28" i="17" s="1"/>
  <c r="I28" i="17" s="1"/>
  <c r="T26" i="14"/>
  <c r="D31" i="8"/>
  <c r="V11" i="14"/>
  <c r="AQ28" i="13" l="1"/>
  <c r="AF28" i="13"/>
  <c r="U28" i="13"/>
  <c r="AP28" i="13"/>
  <c r="AE28" i="13"/>
  <c r="T28" i="13"/>
  <c r="T42" i="13" s="1"/>
  <c r="S29" i="17" s="1"/>
  <c r="AO28" i="13"/>
  <c r="AD28" i="13"/>
  <c r="AN28" i="13"/>
  <c r="AC28" i="13"/>
  <c r="AT28" i="13"/>
  <c r="AI28" i="13"/>
  <c r="X28" i="13"/>
  <c r="AG28" i="13"/>
  <c r="AW28" i="13"/>
  <c r="AB28" i="13"/>
  <c r="AR28" i="13"/>
  <c r="AL28" i="13"/>
  <c r="AV28" i="13"/>
  <c r="AA28" i="13"/>
  <c r="AS28" i="13"/>
  <c r="W28" i="13"/>
  <c r="AM28" i="13"/>
  <c r="AU28" i="13"/>
  <c r="Z28" i="13"/>
  <c r="Y28" i="13"/>
  <c r="V28" i="13"/>
  <c r="AH28" i="13"/>
  <c r="AK28" i="13"/>
  <c r="AJ28" i="13"/>
  <c r="G31" i="17"/>
  <c r="L31" i="17" s="1"/>
  <c r="H31" i="8"/>
  <c r="J31" i="8" s="1"/>
  <c r="P26" i="8"/>
  <c r="G27" i="8"/>
  <c r="K27" i="8" s="1"/>
  <c r="O27" i="8"/>
  <c r="N27" i="8"/>
  <c r="P25" i="8"/>
  <c r="M27" i="8"/>
  <c r="J28" i="17"/>
  <c r="E28" i="8" s="1"/>
  <c r="O28" i="8" s="1"/>
  <c r="R28" i="17"/>
  <c r="T28" i="17" s="1"/>
  <c r="A33" i="8"/>
  <c r="A39" i="17"/>
  <c r="B29" i="13"/>
  <c r="B28" i="14"/>
  <c r="W28" i="14" s="1"/>
  <c r="X28" i="14" s="1"/>
  <c r="Y28" i="14" s="1"/>
  <c r="Z28" i="14" s="1"/>
  <c r="AA28" i="14" s="1"/>
  <c r="AB28" i="14" s="1"/>
  <c r="AC28" i="14" s="1"/>
  <c r="AD28" i="14" s="1"/>
  <c r="AE28" i="14" s="1"/>
  <c r="AF28" i="14" s="1"/>
  <c r="AG28" i="14" s="1"/>
  <c r="AH28" i="14" s="1"/>
  <c r="AI28" i="14" s="1"/>
  <c r="AJ28" i="14" s="1"/>
  <c r="AK28" i="14" s="1"/>
  <c r="AL28" i="14" s="1"/>
  <c r="AM28" i="14" s="1"/>
  <c r="AN28" i="14" s="1"/>
  <c r="AO28" i="14" s="1"/>
  <c r="AP28" i="14" s="1"/>
  <c r="AQ28" i="14" s="1"/>
  <c r="AR28" i="14" s="1"/>
  <c r="AS28" i="14" s="1"/>
  <c r="AT28" i="14" s="1"/>
  <c r="AU28" i="14" s="1"/>
  <c r="AV28" i="14" s="1"/>
  <c r="AW28" i="14" s="1"/>
  <c r="AX28" i="14" s="1"/>
  <c r="P30" i="17"/>
  <c r="D31" i="17"/>
  <c r="Q31" i="17" s="1"/>
  <c r="E30" i="17"/>
  <c r="M29" i="17"/>
  <c r="N29" i="17" s="1"/>
  <c r="D32" i="8"/>
  <c r="T27" i="14"/>
  <c r="T41" i="14" s="1"/>
  <c r="H29" i="17" s="1"/>
  <c r="I29" i="17" s="1"/>
  <c r="V27" i="14"/>
  <c r="W27" i="14" s="1"/>
  <c r="X27" i="14" s="1"/>
  <c r="Y27" i="14" s="1"/>
  <c r="Z27" i="14" s="1"/>
  <c r="AA27" i="14" s="1"/>
  <c r="AB27" i="14" s="1"/>
  <c r="AC27" i="14" s="1"/>
  <c r="AD27" i="14" s="1"/>
  <c r="AE27" i="14" s="1"/>
  <c r="AF27" i="14" s="1"/>
  <c r="AG27" i="14" s="1"/>
  <c r="AH27" i="14" s="1"/>
  <c r="AI27" i="14" s="1"/>
  <c r="AJ27" i="14" s="1"/>
  <c r="AK27" i="14" s="1"/>
  <c r="AL27" i="14" s="1"/>
  <c r="AM27" i="14" s="1"/>
  <c r="AN27" i="14" s="1"/>
  <c r="AO27" i="14" s="1"/>
  <c r="AP27" i="14" s="1"/>
  <c r="AQ27" i="14" s="1"/>
  <c r="AR27" i="14" s="1"/>
  <c r="AS27" i="14" s="1"/>
  <c r="AT27" i="14" s="1"/>
  <c r="AU27" i="14" s="1"/>
  <c r="AV27" i="14" s="1"/>
  <c r="AW27" i="14" s="1"/>
  <c r="U27" i="14"/>
  <c r="W11" i="14"/>
  <c r="AU29" i="13" l="1"/>
  <c r="AJ29" i="13"/>
  <c r="Y29" i="13"/>
  <c r="AT29" i="13"/>
  <c r="AI29" i="13"/>
  <c r="X29" i="13"/>
  <c r="AS29" i="13"/>
  <c r="AH29" i="13"/>
  <c r="W29" i="13"/>
  <c r="AR29" i="13"/>
  <c r="AG29" i="13"/>
  <c r="V29" i="13"/>
  <c r="AX29" i="13"/>
  <c r="AM29" i="13"/>
  <c r="AB29" i="13"/>
  <c r="AP29" i="13"/>
  <c r="U29" i="13"/>
  <c r="U42" i="13" s="1"/>
  <c r="S30" i="17" s="1"/>
  <c r="AF29" i="13"/>
  <c r="AO29" i="13"/>
  <c r="AE29" i="13"/>
  <c r="AN29" i="13"/>
  <c r="AL29" i="13"/>
  <c r="AW29" i="13"/>
  <c r="AK29" i="13"/>
  <c r="AD29" i="13"/>
  <c r="AQ29" i="13"/>
  <c r="Z29" i="13"/>
  <c r="AA29" i="13"/>
  <c r="AV29" i="13"/>
  <c r="AC29" i="13"/>
  <c r="G32" i="17"/>
  <c r="L32" i="17" s="1"/>
  <c r="H32" i="8"/>
  <c r="J32" i="8" s="1"/>
  <c r="M28" i="8"/>
  <c r="G28" i="8"/>
  <c r="K28" i="8" s="1"/>
  <c r="P27" i="8"/>
  <c r="N28" i="8"/>
  <c r="J29" i="17"/>
  <c r="E29" i="8" s="1"/>
  <c r="M29" i="8" s="1"/>
  <c r="R29" i="17"/>
  <c r="T29" i="17" s="1"/>
  <c r="A34" i="8"/>
  <c r="A40" i="17"/>
  <c r="U28" i="14"/>
  <c r="U41" i="14" s="1"/>
  <c r="H30" i="17" s="1"/>
  <c r="I30" i="17" s="1"/>
  <c r="E31" i="17"/>
  <c r="M30" i="17"/>
  <c r="N30" i="17" s="1"/>
  <c r="D32" i="17"/>
  <c r="Q32" i="17" s="1"/>
  <c r="B30" i="13"/>
  <c r="B29" i="14"/>
  <c r="P31" i="17"/>
  <c r="V28" i="14"/>
  <c r="D33" i="8"/>
  <c r="X11" i="14"/>
  <c r="AY30" i="13" l="1"/>
  <c r="AN30" i="13"/>
  <c r="AC30" i="13"/>
  <c r="AX30" i="13"/>
  <c r="AM30" i="13"/>
  <c r="AB30" i="13"/>
  <c r="AW30" i="13"/>
  <c r="AL30" i="13"/>
  <c r="AA30" i="13"/>
  <c r="AV30" i="13"/>
  <c r="AK30" i="13"/>
  <c r="Z30" i="13"/>
  <c r="AQ30" i="13"/>
  <c r="AF30" i="13"/>
  <c r="AH30" i="13"/>
  <c r="Y30" i="13"/>
  <c r="W30" i="13"/>
  <c r="AG30" i="13"/>
  <c r="AO30" i="13"/>
  <c r="AE30" i="13"/>
  <c r="AS30" i="13"/>
  <c r="AU30" i="13"/>
  <c r="AD30" i="13"/>
  <c r="AT30" i="13"/>
  <c r="X30" i="13"/>
  <c r="AP30" i="13"/>
  <c r="AI30" i="13"/>
  <c r="AR30" i="13"/>
  <c r="V30" i="13"/>
  <c r="V42" i="13" s="1"/>
  <c r="S31" i="17" s="1"/>
  <c r="AJ30" i="13"/>
  <c r="G33" i="17"/>
  <c r="L33" i="17" s="1"/>
  <c r="H33" i="8"/>
  <c r="J33" i="8" s="1"/>
  <c r="N29" i="8"/>
  <c r="G29" i="8"/>
  <c r="K29" i="8" s="1"/>
  <c r="O29" i="8"/>
  <c r="P28" i="8"/>
  <c r="J30" i="17"/>
  <c r="E30" i="8" s="1"/>
  <c r="O30" i="8" s="1"/>
  <c r="R30" i="17"/>
  <c r="T30" i="17" s="1"/>
  <c r="A35" i="8"/>
  <c r="A41" i="17"/>
  <c r="D33" i="17"/>
  <c r="Q33" i="17" s="1"/>
  <c r="B31" i="13"/>
  <c r="B30" i="14"/>
  <c r="W30" i="14" s="1"/>
  <c r="P32" i="17"/>
  <c r="E32" i="17"/>
  <c r="M31" i="17"/>
  <c r="N31" i="17" s="1"/>
  <c r="D34" i="8"/>
  <c r="X29" i="14"/>
  <c r="Y29" i="14" s="1"/>
  <c r="Z29" i="14" s="1"/>
  <c r="AA29" i="14" s="1"/>
  <c r="AB29" i="14" s="1"/>
  <c r="AC29" i="14" s="1"/>
  <c r="AD29" i="14" s="1"/>
  <c r="AE29" i="14" s="1"/>
  <c r="AF29" i="14" s="1"/>
  <c r="AG29" i="14" s="1"/>
  <c r="AH29" i="14" s="1"/>
  <c r="AI29" i="14" s="1"/>
  <c r="AJ29" i="14" s="1"/>
  <c r="AK29" i="14" s="1"/>
  <c r="AL29" i="14" s="1"/>
  <c r="AM29" i="14" s="1"/>
  <c r="AN29" i="14" s="1"/>
  <c r="AO29" i="14" s="1"/>
  <c r="AP29" i="14" s="1"/>
  <c r="AQ29" i="14" s="1"/>
  <c r="AR29" i="14" s="1"/>
  <c r="AS29" i="14" s="1"/>
  <c r="AT29" i="14" s="1"/>
  <c r="AU29" i="14" s="1"/>
  <c r="AV29" i="14" s="1"/>
  <c r="AW29" i="14" s="1"/>
  <c r="AX29" i="14" s="1"/>
  <c r="AY29" i="14" s="1"/>
  <c r="V29" i="14"/>
  <c r="V41" i="14" s="1"/>
  <c r="H31" i="17" s="1"/>
  <c r="I31" i="17" s="1"/>
  <c r="W29" i="14"/>
  <c r="Y11" i="14"/>
  <c r="AR31" i="13" l="1"/>
  <c r="AG31" i="13"/>
  <c r="AQ31" i="13"/>
  <c r="AF31" i="13"/>
  <c r="AP31" i="13"/>
  <c r="AE31" i="13"/>
  <c r="AZ31" i="13"/>
  <c r="AO31" i="13"/>
  <c r="AD31" i="13"/>
  <c r="AU31" i="13"/>
  <c r="AJ31" i="13"/>
  <c r="Y31" i="13"/>
  <c r="AT31" i="13"/>
  <c r="Z31" i="13"/>
  <c r="AK31" i="13"/>
  <c r="AH31" i="13"/>
  <c r="AX31" i="13"/>
  <c r="AS31" i="13"/>
  <c r="X31" i="13"/>
  <c r="AN31" i="13"/>
  <c r="W31" i="13"/>
  <c r="W42" i="13" s="1"/>
  <c r="S32" i="17" s="1"/>
  <c r="AY31" i="13"/>
  <c r="AM31" i="13"/>
  <c r="AL31" i="13"/>
  <c r="AI31" i="13"/>
  <c r="AV31" i="13"/>
  <c r="AA31" i="13"/>
  <c r="AC31" i="13"/>
  <c r="AW31" i="13"/>
  <c r="AB31" i="13"/>
  <c r="G34" i="17"/>
  <c r="L34" i="17" s="1"/>
  <c r="H34" i="8"/>
  <c r="J34" i="8" s="1"/>
  <c r="G30" i="8"/>
  <c r="K30" i="8" s="1"/>
  <c r="M30" i="8"/>
  <c r="P29" i="8"/>
  <c r="N30" i="8"/>
  <c r="J31" i="17"/>
  <c r="E31" i="8" s="1"/>
  <c r="M31" i="8" s="1"/>
  <c r="R31" i="17"/>
  <c r="T31" i="17" s="1"/>
  <c r="A36" i="8"/>
  <c r="A42" i="17"/>
  <c r="D34" i="17"/>
  <c r="Q34" i="17" s="1"/>
  <c r="M32" i="17"/>
  <c r="N32" i="17" s="1"/>
  <c r="E33" i="17"/>
  <c r="B31" i="14"/>
  <c r="X31" i="14" s="1"/>
  <c r="B32" i="13"/>
  <c r="P33" i="17"/>
  <c r="Y30" i="14"/>
  <c r="Z30" i="14" s="1"/>
  <c r="AA30" i="14" s="1"/>
  <c r="AB30" i="14" s="1"/>
  <c r="AC30" i="14" s="1"/>
  <c r="AD30" i="14" s="1"/>
  <c r="AE30" i="14" s="1"/>
  <c r="AF30" i="14" s="1"/>
  <c r="AG30" i="14" s="1"/>
  <c r="AH30" i="14" s="1"/>
  <c r="AI30" i="14" s="1"/>
  <c r="AJ30" i="14" s="1"/>
  <c r="AK30" i="14" s="1"/>
  <c r="AL30" i="14" s="1"/>
  <c r="AM30" i="14" s="1"/>
  <c r="AN30" i="14" s="1"/>
  <c r="AO30" i="14" s="1"/>
  <c r="AP30" i="14" s="1"/>
  <c r="AQ30" i="14" s="1"/>
  <c r="AR30" i="14" s="1"/>
  <c r="AS30" i="14" s="1"/>
  <c r="AT30" i="14" s="1"/>
  <c r="AU30" i="14" s="1"/>
  <c r="AV30" i="14" s="1"/>
  <c r="AW30" i="14" s="1"/>
  <c r="AX30" i="14" s="1"/>
  <c r="AY30" i="14" s="1"/>
  <c r="AZ30" i="14" s="1"/>
  <c r="X30" i="14"/>
  <c r="W41" i="14"/>
  <c r="D35" i="8"/>
  <c r="Z11" i="14"/>
  <c r="AV32" i="13" l="1"/>
  <c r="AK32" i="13"/>
  <c r="Z32" i="13"/>
  <c r="AU32" i="13"/>
  <c r="AJ32" i="13"/>
  <c r="Y32" i="13"/>
  <c r="AT32" i="13"/>
  <c r="AI32" i="13"/>
  <c r="X32" i="13"/>
  <c r="X42" i="13" s="1"/>
  <c r="AS32" i="13"/>
  <c r="AH32" i="13"/>
  <c r="AY32" i="13"/>
  <c r="AN32" i="13"/>
  <c r="AC32" i="13"/>
  <c r="AL32" i="13"/>
  <c r="AW32" i="13"/>
  <c r="AG32" i="13"/>
  <c r="AB32" i="13"/>
  <c r="AR32" i="13"/>
  <c r="AQ32" i="13"/>
  <c r="BA32" i="13"/>
  <c r="AF32" i="13"/>
  <c r="AA32" i="13"/>
  <c r="AZ32" i="13"/>
  <c r="AE32" i="13"/>
  <c r="AP32" i="13"/>
  <c r="AX32" i="13"/>
  <c r="AD32" i="13"/>
  <c r="AM32" i="13"/>
  <c r="AO32" i="13"/>
  <c r="G35" i="17"/>
  <c r="L35" i="17" s="1"/>
  <c r="H35" i="8"/>
  <c r="J35" i="8" s="1"/>
  <c r="P30" i="8"/>
  <c r="N31" i="8"/>
  <c r="O31" i="8"/>
  <c r="G31" i="8"/>
  <c r="K31" i="8" s="1"/>
  <c r="A37" i="8"/>
  <c r="B32" i="14"/>
  <c r="AA32" i="14" s="1"/>
  <c r="AB32" i="14" s="1"/>
  <c r="AC32" i="14" s="1"/>
  <c r="AD32" i="14" s="1"/>
  <c r="AE32" i="14" s="1"/>
  <c r="AF32" i="14" s="1"/>
  <c r="AG32" i="14" s="1"/>
  <c r="AH32" i="14" s="1"/>
  <c r="AI32" i="14" s="1"/>
  <c r="AJ32" i="14" s="1"/>
  <c r="AK32" i="14" s="1"/>
  <c r="AL32" i="14" s="1"/>
  <c r="AM32" i="14" s="1"/>
  <c r="AN32" i="14" s="1"/>
  <c r="AO32" i="14" s="1"/>
  <c r="AP32" i="14" s="1"/>
  <c r="AQ32" i="14" s="1"/>
  <c r="AR32" i="14" s="1"/>
  <c r="AS32" i="14" s="1"/>
  <c r="AT32" i="14" s="1"/>
  <c r="AU32" i="14" s="1"/>
  <c r="AV32" i="14" s="1"/>
  <c r="AW32" i="14" s="1"/>
  <c r="AX32" i="14" s="1"/>
  <c r="AY32" i="14" s="1"/>
  <c r="AZ32" i="14" s="1"/>
  <c r="BA32" i="14" s="1"/>
  <c r="BB32" i="14" s="1"/>
  <c r="B33" i="13"/>
  <c r="P34" i="17"/>
  <c r="E34" i="17"/>
  <c r="M33" i="17"/>
  <c r="N33" i="17" s="1"/>
  <c r="D35" i="17"/>
  <c r="Q35" i="17" s="1"/>
  <c r="H32" i="17"/>
  <c r="I32" i="17" s="1"/>
  <c r="X41" i="14"/>
  <c r="H33" i="17" s="1"/>
  <c r="I33" i="17" s="1"/>
  <c r="D36" i="8"/>
  <c r="H36" i="8" s="1"/>
  <c r="Y31" i="14"/>
  <c r="Z31" i="14"/>
  <c r="AA31" i="14" s="1"/>
  <c r="AB31" i="14" s="1"/>
  <c r="AC31" i="14" s="1"/>
  <c r="AD31" i="14" s="1"/>
  <c r="AE31" i="14" s="1"/>
  <c r="AF31" i="14" s="1"/>
  <c r="AG31" i="14" s="1"/>
  <c r="AH31" i="14" s="1"/>
  <c r="AI31" i="14" s="1"/>
  <c r="AJ31" i="14" s="1"/>
  <c r="AK31" i="14" s="1"/>
  <c r="AL31" i="14" s="1"/>
  <c r="AM31" i="14" s="1"/>
  <c r="AN31" i="14" s="1"/>
  <c r="AO31" i="14" s="1"/>
  <c r="AP31" i="14" s="1"/>
  <c r="AQ31" i="14" s="1"/>
  <c r="AR31" i="14" s="1"/>
  <c r="AS31" i="14" s="1"/>
  <c r="AT31" i="14" s="1"/>
  <c r="AU31" i="14" s="1"/>
  <c r="AV31" i="14" s="1"/>
  <c r="AW31" i="14" s="1"/>
  <c r="AX31" i="14" s="1"/>
  <c r="AY31" i="14" s="1"/>
  <c r="AZ31" i="14" s="1"/>
  <c r="BA31" i="14" s="1"/>
  <c r="AA11" i="14"/>
  <c r="AZ33" i="13" l="1"/>
  <c r="AO33" i="13"/>
  <c r="AD33" i="13"/>
  <c r="AY33" i="13"/>
  <c r="AN33" i="13"/>
  <c r="AC33" i="13"/>
  <c r="AX33" i="13"/>
  <c r="AM33" i="13"/>
  <c r="AB33" i="13"/>
  <c r="AW33" i="13"/>
  <c r="AL33" i="13"/>
  <c r="AA33" i="13"/>
  <c r="AR33" i="13"/>
  <c r="AG33" i="13"/>
  <c r="AU33" i="13"/>
  <c r="Z33" i="13"/>
  <c r="AK33" i="13"/>
  <c r="AT33" i="13"/>
  <c r="Y33" i="13"/>
  <c r="Y42" i="13" s="1"/>
  <c r="AS33" i="13"/>
  <c r="AH33" i="13"/>
  <c r="AQ33" i="13"/>
  <c r="AI33" i="13"/>
  <c r="AP33" i="13"/>
  <c r="AJ33" i="13"/>
  <c r="AV33" i="13"/>
  <c r="AE33" i="13"/>
  <c r="BB33" i="13"/>
  <c r="AF33" i="13"/>
  <c r="BA33" i="13"/>
  <c r="P31" i="8"/>
  <c r="J32" i="17"/>
  <c r="E32" i="8" s="1"/>
  <c r="O32" i="8" s="1"/>
  <c r="R32" i="17"/>
  <c r="T32" i="17" s="1"/>
  <c r="J33" i="17"/>
  <c r="E33" i="8" s="1"/>
  <c r="M33" i="8" s="1"/>
  <c r="R33" i="17"/>
  <c r="A38" i="8"/>
  <c r="J36" i="8"/>
  <c r="G36" i="17"/>
  <c r="L36" i="17" s="1"/>
  <c r="Z32" i="14"/>
  <c r="D37" i="8"/>
  <c r="H37" i="8" s="1"/>
  <c r="D36" i="17"/>
  <c r="Q36" i="17" s="1"/>
  <c r="B33" i="14"/>
  <c r="B34" i="13"/>
  <c r="P35" i="17"/>
  <c r="E35" i="17"/>
  <c r="M34" i="17"/>
  <c r="N34" i="17" s="1"/>
  <c r="S33" i="17"/>
  <c r="Y32" i="14"/>
  <c r="Y41" i="14" s="1"/>
  <c r="AB11" i="14"/>
  <c r="AS34" i="13" l="1"/>
  <c r="AH34" i="13"/>
  <c r="BC34" i="13"/>
  <c r="AR34" i="13"/>
  <c r="AG34" i="13"/>
  <c r="BB34" i="13"/>
  <c r="AQ34" i="13"/>
  <c r="AF34" i="13"/>
  <c r="BA34" i="13"/>
  <c r="AP34" i="13"/>
  <c r="AE34" i="13"/>
  <c r="AV34" i="13"/>
  <c r="AK34" i="13"/>
  <c r="Z34" i="13"/>
  <c r="Z42" i="13" s="1"/>
  <c r="S35" i="17" s="1"/>
  <c r="AM34" i="13"/>
  <c r="AL34" i="13"/>
  <c r="AX34" i="13"/>
  <c r="AJ34" i="13"/>
  <c r="AC34" i="13"/>
  <c r="AW34" i="13"/>
  <c r="AZ34" i="13"/>
  <c r="AI34" i="13"/>
  <c r="AY34" i="13"/>
  <c r="AT34" i="13"/>
  <c r="AD34" i="13"/>
  <c r="AU34" i="13"/>
  <c r="AN34" i="13"/>
  <c r="AB34" i="13"/>
  <c r="AA34" i="13"/>
  <c r="AO34" i="13"/>
  <c r="M32" i="8"/>
  <c r="G32" i="8"/>
  <c r="K32" i="8" s="1"/>
  <c r="G33" i="8"/>
  <c r="K33" i="8" s="1"/>
  <c r="N32" i="8"/>
  <c r="N33" i="8"/>
  <c r="O33" i="8"/>
  <c r="A39" i="8"/>
  <c r="G37" i="17"/>
  <c r="L37" i="17" s="1"/>
  <c r="J37" i="8"/>
  <c r="D38" i="8"/>
  <c r="H38" i="8" s="1"/>
  <c r="D37" i="17"/>
  <c r="Q37" i="17" s="1"/>
  <c r="B35" i="13"/>
  <c r="B34" i="14"/>
  <c r="AB34" i="14" s="1"/>
  <c r="P36" i="17"/>
  <c r="E36" i="17"/>
  <c r="M35" i="17"/>
  <c r="N35" i="17" s="1"/>
  <c r="AB33" i="14"/>
  <c r="AC33" i="14" s="1"/>
  <c r="AD33" i="14" s="1"/>
  <c r="AE33" i="14" s="1"/>
  <c r="AF33" i="14" s="1"/>
  <c r="AG33" i="14" s="1"/>
  <c r="AH33" i="14" s="1"/>
  <c r="AI33" i="14" s="1"/>
  <c r="AJ33" i="14" s="1"/>
  <c r="AK33" i="14" s="1"/>
  <c r="AL33" i="14" s="1"/>
  <c r="AM33" i="14" s="1"/>
  <c r="AN33" i="14" s="1"/>
  <c r="AO33" i="14" s="1"/>
  <c r="AP33" i="14" s="1"/>
  <c r="AQ33" i="14" s="1"/>
  <c r="AR33" i="14" s="1"/>
  <c r="AS33" i="14" s="1"/>
  <c r="AT33" i="14" s="1"/>
  <c r="AU33" i="14" s="1"/>
  <c r="AV33" i="14" s="1"/>
  <c r="AW33" i="14" s="1"/>
  <c r="AX33" i="14" s="1"/>
  <c r="AY33" i="14" s="1"/>
  <c r="AZ33" i="14" s="1"/>
  <c r="BA33" i="14" s="1"/>
  <c r="BB33" i="14" s="1"/>
  <c r="BC33" i="14" s="1"/>
  <c r="AA33" i="14"/>
  <c r="Z33" i="14"/>
  <c r="Z41" i="14" s="1"/>
  <c r="H35" i="17" s="1"/>
  <c r="I35" i="17" s="1"/>
  <c r="H34" i="17"/>
  <c r="I34" i="17" s="1"/>
  <c r="T33" i="17"/>
  <c r="S34" i="17"/>
  <c r="AC11" i="14"/>
  <c r="AW35" i="13" l="1"/>
  <c r="AL35" i="13"/>
  <c r="AA35" i="13"/>
  <c r="AA42" i="13" s="1"/>
  <c r="S36" i="17" s="1"/>
  <c r="AV35" i="13"/>
  <c r="AK35" i="13"/>
  <c r="AU35" i="13"/>
  <c r="AJ35" i="13"/>
  <c r="AT35" i="13"/>
  <c r="AI35" i="13"/>
  <c r="AZ35" i="13"/>
  <c r="AO35" i="13"/>
  <c r="AD35" i="13"/>
  <c r="AY35" i="13"/>
  <c r="AE35" i="13"/>
  <c r="AP35" i="13"/>
  <c r="AM35" i="13"/>
  <c r="AX35" i="13"/>
  <c r="AC35" i="13"/>
  <c r="AN35" i="13"/>
  <c r="BD35" i="13"/>
  <c r="AS35" i="13"/>
  <c r="AB35" i="13"/>
  <c r="AQ35" i="13"/>
  <c r="AR35" i="13"/>
  <c r="BC35" i="13"/>
  <c r="BA35" i="13"/>
  <c r="AF35" i="13"/>
  <c r="AH35" i="13"/>
  <c r="AG35" i="13"/>
  <c r="BB35" i="13"/>
  <c r="P32" i="8"/>
  <c r="P33" i="8"/>
  <c r="J34" i="17"/>
  <c r="E34" i="8" s="1"/>
  <c r="O34" i="8" s="1"/>
  <c r="R34" i="17"/>
  <c r="T34" i="17" s="1"/>
  <c r="J35" i="17"/>
  <c r="E35" i="8" s="1"/>
  <c r="R35" i="17"/>
  <c r="T35" i="17" s="1"/>
  <c r="A40" i="8"/>
  <c r="D38" i="17"/>
  <c r="Q38" i="17" s="1"/>
  <c r="G38" i="17"/>
  <c r="L38" i="17" s="1"/>
  <c r="J38" i="8"/>
  <c r="D39" i="8"/>
  <c r="H39" i="8" s="1"/>
  <c r="P37" i="17"/>
  <c r="B35" i="14"/>
  <c r="AB35" i="14" s="1"/>
  <c r="AB41" i="14" s="1"/>
  <c r="H37" i="17" s="1"/>
  <c r="B36" i="13"/>
  <c r="AA34" i="14"/>
  <c r="AA41" i="14" s="1"/>
  <c r="H36" i="17" s="1"/>
  <c r="I36" i="17" s="1"/>
  <c r="M36" i="17"/>
  <c r="N36" i="17" s="1"/>
  <c r="E37" i="17"/>
  <c r="AC34" i="14"/>
  <c r="AD34" i="14" s="1"/>
  <c r="AE34" i="14" s="1"/>
  <c r="AF34" i="14" s="1"/>
  <c r="AG34" i="14" s="1"/>
  <c r="AH34" i="14" s="1"/>
  <c r="AI34" i="14" s="1"/>
  <c r="AJ34" i="14" s="1"/>
  <c r="AK34" i="14" s="1"/>
  <c r="AL34" i="14" s="1"/>
  <c r="AM34" i="14" s="1"/>
  <c r="AN34" i="14" s="1"/>
  <c r="AO34" i="14" s="1"/>
  <c r="AP34" i="14" s="1"/>
  <c r="AQ34" i="14" s="1"/>
  <c r="AR34" i="14" s="1"/>
  <c r="AS34" i="14" s="1"/>
  <c r="AT34" i="14" s="1"/>
  <c r="AU34" i="14" s="1"/>
  <c r="AV34" i="14" s="1"/>
  <c r="AW34" i="14" s="1"/>
  <c r="AX34" i="14" s="1"/>
  <c r="AY34" i="14" s="1"/>
  <c r="AZ34" i="14" s="1"/>
  <c r="BA34" i="14" s="1"/>
  <c r="BB34" i="14" s="1"/>
  <c r="BC34" i="14" s="1"/>
  <c r="BD34" i="14" s="1"/>
  <c r="AD11" i="14"/>
  <c r="BA36" i="13" l="1"/>
  <c r="AP36" i="13"/>
  <c r="AE36" i="13"/>
  <c r="AZ36" i="13"/>
  <c r="AO36" i="13"/>
  <c r="AD36" i="13"/>
  <c r="AY36" i="13"/>
  <c r="AN36" i="13"/>
  <c r="AC36" i="13"/>
  <c r="AX36" i="13"/>
  <c r="AM36" i="13"/>
  <c r="AB36" i="13"/>
  <c r="BD36" i="13"/>
  <c r="AS36" i="13"/>
  <c r="AH36" i="13"/>
  <c r="AQ36" i="13"/>
  <c r="BC36" i="13"/>
  <c r="BB36" i="13"/>
  <c r="AL36" i="13"/>
  <c r="AG36" i="13"/>
  <c r="AU36" i="13"/>
  <c r="AK36" i="13"/>
  <c r="BE36" i="13"/>
  <c r="AJ36" i="13"/>
  <c r="AV36" i="13"/>
  <c r="AI36" i="13"/>
  <c r="AW36" i="13"/>
  <c r="AF36" i="13"/>
  <c r="AR36" i="13"/>
  <c r="AT36" i="13"/>
  <c r="G34" i="8"/>
  <c r="K34" i="8" s="1"/>
  <c r="N34" i="8"/>
  <c r="M34" i="8"/>
  <c r="N35" i="8"/>
  <c r="O35" i="8"/>
  <c r="M35" i="8"/>
  <c r="G35" i="8"/>
  <c r="K35" i="8" s="1"/>
  <c r="J36" i="17"/>
  <c r="E36" i="8" s="1"/>
  <c r="R36" i="17"/>
  <c r="T36" i="17" s="1"/>
  <c r="P38" i="17"/>
  <c r="B37" i="13"/>
  <c r="B36" i="14"/>
  <c r="AD36" i="14" s="1"/>
  <c r="A41" i="8"/>
  <c r="G39" i="17"/>
  <c r="L39" i="17" s="1"/>
  <c r="I37" i="17"/>
  <c r="D39" i="17"/>
  <c r="Q39" i="17" s="1"/>
  <c r="D40" i="8"/>
  <c r="H40" i="8" s="1"/>
  <c r="J39" i="8"/>
  <c r="AB42" i="13"/>
  <c r="S37" i="17" s="1"/>
  <c r="AC35" i="14"/>
  <c r="AD35" i="14"/>
  <c r="AE35" i="14" s="1"/>
  <c r="AF35" i="14" s="1"/>
  <c r="AG35" i="14" s="1"/>
  <c r="AH35" i="14" s="1"/>
  <c r="AI35" i="14" s="1"/>
  <c r="AJ35" i="14" s="1"/>
  <c r="AK35" i="14" s="1"/>
  <c r="AL35" i="14" s="1"/>
  <c r="AM35" i="14" s="1"/>
  <c r="AN35" i="14" s="1"/>
  <c r="AO35" i="14" s="1"/>
  <c r="AP35" i="14" s="1"/>
  <c r="AQ35" i="14" s="1"/>
  <c r="AR35" i="14" s="1"/>
  <c r="AS35" i="14" s="1"/>
  <c r="AT35" i="14" s="1"/>
  <c r="AU35" i="14" s="1"/>
  <c r="AV35" i="14" s="1"/>
  <c r="AW35" i="14" s="1"/>
  <c r="AX35" i="14" s="1"/>
  <c r="AY35" i="14" s="1"/>
  <c r="AZ35" i="14" s="1"/>
  <c r="BA35" i="14" s="1"/>
  <c r="BB35" i="14" s="1"/>
  <c r="BC35" i="14" s="1"/>
  <c r="BD35" i="14" s="1"/>
  <c r="BE35" i="14" s="1"/>
  <c r="M37" i="17"/>
  <c r="N37" i="17" s="1"/>
  <c r="E38" i="17"/>
  <c r="AE11" i="14"/>
  <c r="BE37" i="13" l="1"/>
  <c r="AT37" i="13"/>
  <c r="AI37" i="13"/>
  <c r="BD37" i="13"/>
  <c r="AS37" i="13"/>
  <c r="AH37" i="13"/>
  <c r="BC37" i="13"/>
  <c r="AR37" i="13"/>
  <c r="AG37" i="13"/>
  <c r="BB37" i="13"/>
  <c r="AQ37" i="13"/>
  <c r="AF37" i="13"/>
  <c r="AW37" i="13"/>
  <c r="AL37" i="13"/>
  <c r="AZ37" i="13"/>
  <c r="AE37" i="13"/>
  <c r="AO37" i="13"/>
  <c r="AM37" i="13"/>
  <c r="AY37" i="13"/>
  <c r="AD37" i="13"/>
  <c r="AU37" i="13"/>
  <c r="AP37" i="13"/>
  <c r="AX37" i="13"/>
  <c r="AC37" i="13"/>
  <c r="AC42" i="13" s="1"/>
  <c r="S38" i="17" s="1"/>
  <c r="AV37" i="13"/>
  <c r="AN37" i="13"/>
  <c r="BA37" i="13"/>
  <c r="AJ37" i="13"/>
  <c r="BF37" i="13"/>
  <c r="AK37" i="13"/>
  <c r="AE36" i="14"/>
  <c r="AF36" i="14" s="1"/>
  <c r="AG36" i="14" s="1"/>
  <c r="AH36" i="14" s="1"/>
  <c r="AI36" i="14" s="1"/>
  <c r="AJ36" i="14" s="1"/>
  <c r="AK36" i="14" s="1"/>
  <c r="AL36" i="14" s="1"/>
  <c r="AM36" i="14" s="1"/>
  <c r="AN36" i="14" s="1"/>
  <c r="AO36" i="14" s="1"/>
  <c r="AP36" i="14" s="1"/>
  <c r="AQ36" i="14" s="1"/>
  <c r="AR36" i="14" s="1"/>
  <c r="AS36" i="14" s="1"/>
  <c r="AT36" i="14" s="1"/>
  <c r="AU36" i="14" s="1"/>
  <c r="AV36" i="14" s="1"/>
  <c r="AW36" i="14" s="1"/>
  <c r="AX36" i="14" s="1"/>
  <c r="AY36" i="14" s="1"/>
  <c r="AZ36" i="14" s="1"/>
  <c r="BA36" i="14" s="1"/>
  <c r="BB36" i="14" s="1"/>
  <c r="BC36" i="14" s="1"/>
  <c r="BD36" i="14" s="1"/>
  <c r="BE36" i="14" s="1"/>
  <c r="BF36" i="14" s="1"/>
  <c r="AC36" i="14"/>
  <c r="AC41" i="14" s="1"/>
  <c r="H38" i="17" s="1"/>
  <c r="P34" i="8"/>
  <c r="M36" i="8"/>
  <c r="O36" i="8"/>
  <c r="P35" i="8"/>
  <c r="G36" i="8"/>
  <c r="K36" i="8" s="1"/>
  <c r="N36" i="8"/>
  <c r="J37" i="17"/>
  <c r="E37" i="8" s="1"/>
  <c r="M37" i="8" s="1"/>
  <c r="R37" i="17"/>
  <c r="T37" i="17" s="1"/>
  <c r="A42" i="8"/>
  <c r="D41" i="8"/>
  <c r="G40" i="17"/>
  <c r="L40" i="17" s="1"/>
  <c r="P39" i="17"/>
  <c r="D40" i="17"/>
  <c r="Q40" i="17" s="1"/>
  <c r="B37" i="14"/>
  <c r="AE37" i="14" s="1"/>
  <c r="B38" i="13"/>
  <c r="J40" i="8"/>
  <c r="M38" i="17"/>
  <c r="N38" i="17" s="1"/>
  <c r="E39" i="17"/>
  <c r="AF11" i="14"/>
  <c r="AX38" i="13" l="1"/>
  <c r="AM38" i="13"/>
  <c r="AW38" i="13"/>
  <c r="AL38" i="13"/>
  <c r="BG38" i="13"/>
  <c r="AV38" i="13"/>
  <c r="AK38" i="13"/>
  <c r="BF38" i="13"/>
  <c r="AU38" i="13"/>
  <c r="AJ38" i="13"/>
  <c r="BA38" i="13"/>
  <c r="AP38" i="13"/>
  <c r="AE38" i="13"/>
  <c r="AR38" i="13"/>
  <c r="BC38" i="13"/>
  <c r="AQ38" i="13"/>
  <c r="AF38" i="13"/>
  <c r="AO38" i="13"/>
  <c r="BB38" i="13"/>
  <c r="AY38" i="13"/>
  <c r="BE38" i="13"/>
  <c r="AN38" i="13"/>
  <c r="BD38" i="13"/>
  <c r="AI38" i="13"/>
  <c r="AH38" i="13"/>
  <c r="AG38" i="13"/>
  <c r="AS38" i="13"/>
  <c r="AZ38" i="13"/>
  <c r="AD38" i="13"/>
  <c r="AD42" i="13" s="1"/>
  <c r="S39" i="17" s="1"/>
  <c r="AT38" i="13"/>
  <c r="G41" i="17"/>
  <c r="L41" i="17" s="1"/>
  <c r="H41" i="8"/>
  <c r="J41" i="8" s="1"/>
  <c r="P36" i="8"/>
  <c r="N37" i="8"/>
  <c r="O37" i="8"/>
  <c r="G37" i="8"/>
  <c r="K37" i="8" s="1"/>
  <c r="D41" i="17"/>
  <c r="Q41" i="17" s="1"/>
  <c r="D42" i="8"/>
  <c r="I38" i="17"/>
  <c r="P40" i="17"/>
  <c r="B38" i="14"/>
  <c r="AG38" i="14" s="1"/>
  <c r="AH38" i="14" s="1"/>
  <c r="AI38" i="14" s="1"/>
  <c r="AJ38" i="14" s="1"/>
  <c r="AK38" i="14" s="1"/>
  <c r="AL38" i="14" s="1"/>
  <c r="AM38" i="14" s="1"/>
  <c r="AN38" i="14" s="1"/>
  <c r="AO38" i="14" s="1"/>
  <c r="AP38" i="14" s="1"/>
  <c r="AQ38" i="14" s="1"/>
  <c r="AR38" i="14" s="1"/>
  <c r="AS38" i="14" s="1"/>
  <c r="AT38" i="14" s="1"/>
  <c r="AU38" i="14" s="1"/>
  <c r="AV38" i="14" s="1"/>
  <c r="AW38" i="14" s="1"/>
  <c r="AX38" i="14" s="1"/>
  <c r="AY38" i="14" s="1"/>
  <c r="AZ38" i="14" s="1"/>
  <c r="BA38" i="14" s="1"/>
  <c r="BB38" i="14" s="1"/>
  <c r="BC38" i="14" s="1"/>
  <c r="BD38" i="14" s="1"/>
  <c r="BE38" i="14" s="1"/>
  <c r="BF38" i="14" s="1"/>
  <c r="BG38" i="14" s="1"/>
  <c r="BH38" i="14" s="1"/>
  <c r="B39" i="13"/>
  <c r="AD37" i="14"/>
  <c r="AD41" i="14" s="1"/>
  <c r="H39" i="17" s="1"/>
  <c r="I39" i="17" s="1"/>
  <c r="AF37" i="14"/>
  <c r="AG37" i="14" s="1"/>
  <c r="AH37" i="14" s="1"/>
  <c r="AI37" i="14" s="1"/>
  <c r="AJ37" i="14" s="1"/>
  <c r="AK37" i="14" s="1"/>
  <c r="AL37" i="14" s="1"/>
  <c r="AM37" i="14" s="1"/>
  <c r="AN37" i="14" s="1"/>
  <c r="AO37" i="14" s="1"/>
  <c r="AP37" i="14" s="1"/>
  <c r="AQ37" i="14" s="1"/>
  <c r="AR37" i="14" s="1"/>
  <c r="AS37" i="14" s="1"/>
  <c r="AT37" i="14" s="1"/>
  <c r="AU37" i="14" s="1"/>
  <c r="AV37" i="14" s="1"/>
  <c r="AW37" i="14" s="1"/>
  <c r="AX37" i="14" s="1"/>
  <c r="AY37" i="14" s="1"/>
  <c r="AZ37" i="14" s="1"/>
  <c r="BA37" i="14" s="1"/>
  <c r="BB37" i="14" s="1"/>
  <c r="BC37" i="14" s="1"/>
  <c r="BD37" i="14" s="1"/>
  <c r="BE37" i="14" s="1"/>
  <c r="BF37" i="14" s="1"/>
  <c r="BG37" i="14" s="1"/>
  <c r="M39" i="17"/>
  <c r="N39" i="17" s="1"/>
  <c r="E40" i="17"/>
  <c r="AG11" i="14"/>
  <c r="BB39" i="13" l="1"/>
  <c r="AQ39" i="13"/>
  <c r="AF39" i="13"/>
  <c r="BA39" i="13"/>
  <c r="AP39" i="13"/>
  <c r="AE39" i="13"/>
  <c r="AZ39" i="13"/>
  <c r="AO39" i="13"/>
  <c r="AY39" i="13"/>
  <c r="AN39" i="13"/>
  <c r="BH39" i="13"/>
  <c r="BE39" i="13"/>
  <c r="AT39" i="13"/>
  <c r="AI39" i="13"/>
  <c r="BD39" i="13"/>
  <c r="AJ39" i="13"/>
  <c r="BC39" i="13"/>
  <c r="AH39" i="13"/>
  <c r="AU39" i="13"/>
  <c r="AX39" i="13"/>
  <c r="AG39" i="13"/>
  <c r="AW39" i="13"/>
  <c r="AS39" i="13"/>
  <c r="AR39" i="13"/>
  <c r="AM39" i="13"/>
  <c r="AV39" i="13"/>
  <c r="BF39" i="13"/>
  <c r="AK39" i="13"/>
  <c r="BG39" i="13"/>
  <c r="AL39" i="13"/>
  <c r="G42" i="17"/>
  <c r="L42" i="17" s="1"/>
  <c r="H42" i="8"/>
  <c r="J42" i="8" s="1"/>
  <c r="P37" i="8"/>
  <c r="J39" i="17"/>
  <c r="E39" i="8" s="1"/>
  <c r="O39" i="8" s="1"/>
  <c r="R39" i="17"/>
  <c r="T39" i="17" s="1"/>
  <c r="J38" i="17"/>
  <c r="E38" i="8" s="1"/>
  <c r="M38" i="8" s="1"/>
  <c r="R38" i="17"/>
  <c r="T38" i="17" s="1"/>
  <c r="B39" i="14"/>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P41" i="17"/>
  <c r="B40" i="13"/>
  <c r="D42" i="17"/>
  <c r="Q42" i="17" s="1"/>
  <c r="AF38" i="14"/>
  <c r="AE38" i="14"/>
  <c r="AE41" i="14" s="1"/>
  <c r="H40" i="17" s="1"/>
  <c r="I40" i="17" s="1"/>
  <c r="M40" i="17"/>
  <c r="N40" i="17" s="1"/>
  <c r="E41" i="17"/>
  <c r="BE40" i="13" l="1"/>
  <c r="AT40" i="13"/>
  <c r="AI40" i="13"/>
  <c r="BD40" i="13"/>
  <c r="AS40" i="13"/>
  <c r="AH40" i="13"/>
  <c r="BC40" i="13"/>
  <c r="AR40" i="13"/>
  <c r="AG40" i="13"/>
  <c r="BB40" i="13"/>
  <c r="AQ40" i="13"/>
  <c r="AF40" i="13"/>
  <c r="BA40" i="13"/>
  <c r="AP40" i="13"/>
  <c r="AE40" i="13"/>
  <c r="AE42" i="13" s="1"/>
  <c r="S40" i="17" s="1"/>
  <c r="AZ40" i="13"/>
  <c r="AO40" i="13"/>
  <c r="BH40" i="13"/>
  <c r="AW40" i="13"/>
  <c r="AL40" i="13"/>
  <c r="BF40" i="13"/>
  <c r="AK40" i="13"/>
  <c r="AJ40" i="13"/>
  <c r="AY40" i="13"/>
  <c r="AM40" i="13"/>
  <c r="AX40" i="13"/>
  <c r="AN40" i="13"/>
  <c r="AV40" i="13"/>
  <c r="AU40" i="13"/>
  <c r="BG40" i="13"/>
  <c r="P42" i="17"/>
  <c r="D43" i="17"/>
  <c r="G38" i="8"/>
  <c r="K38" i="8" s="1"/>
  <c r="B41" i="13"/>
  <c r="B40" i="14"/>
  <c r="AH40" i="14" s="1"/>
  <c r="AG39" i="14"/>
  <c r="N39" i="8"/>
  <c r="AF39" i="14"/>
  <c r="AF41" i="14" s="1"/>
  <c r="H41" i="17" s="1"/>
  <c r="I41" i="17" s="1"/>
  <c r="M39" i="8"/>
  <c r="G39" i="8"/>
  <c r="K39" i="8" s="1"/>
  <c r="N38" i="8"/>
  <c r="O38" i="8"/>
  <c r="J40" i="17"/>
  <c r="E40" i="8" s="1"/>
  <c r="O40" i="8" s="1"/>
  <c r="R40" i="17"/>
  <c r="E42" i="17"/>
  <c r="M42" i="17" s="1"/>
  <c r="N42" i="17" s="1"/>
  <c r="M41" i="17"/>
  <c r="N41" i="17" s="1"/>
  <c r="J44" i="8"/>
  <c r="D38" i="9" s="1"/>
  <c r="T40" i="17" l="1"/>
  <c r="BI41" i="13"/>
  <c r="AX41" i="13"/>
  <c r="AM41" i="13"/>
  <c r="BH41" i="13"/>
  <c r="AW41" i="13"/>
  <c r="AL41" i="13"/>
  <c r="BG41" i="13"/>
  <c r="AV41" i="13"/>
  <c r="AK41" i="13"/>
  <c r="BF41" i="13"/>
  <c r="AU41" i="13"/>
  <c r="AJ41" i="13"/>
  <c r="BE41" i="13"/>
  <c r="AT41" i="13"/>
  <c r="AI41" i="13"/>
  <c r="BD41" i="13"/>
  <c r="AS41" i="13"/>
  <c r="AH41" i="13"/>
  <c r="BA41" i="13"/>
  <c r="AP41" i="13"/>
  <c r="BC41" i="13"/>
  <c r="BB41" i="13"/>
  <c r="AG41" i="13"/>
  <c r="AG42" i="13" s="1"/>
  <c r="S42" i="17" s="1"/>
  <c r="AZ41" i="13"/>
  <c r="AN41" i="13"/>
  <c r="AY41" i="13"/>
  <c r="AQ41" i="13"/>
  <c r="AR41" i="13"/>
  <c r="AO41" i="13"/>
  <c r="AF41" i="13"/>
  <c r="AF42" i="13" s="1"/>
  <c r="S41" i="17" s="1"/>
  <c r="B42" i="13"/>
  <c r="AI40" i="14"/>
  <c r="AJ40" i="14" s="1"/>
  <c r="AK40" i="14" s="1"/>
  <c r="AL40" i="14" s="1"/>
  <c r="AM40" i="14" s="1"/>
  <c r="AN40" i="14" s="1"/>
  <c r="AO40" i="14" s="1"/>
  <c r="AP40" i="14" s="1"/>
  <c r="AQ40" i="14" s="1"/>
  <c r="AR40" i="14" s="1"/>
  <c r="AS40" i="14" s="1"/>
  <c r="AT40" i="14" s="1"/>
  <c r="AU40" i="14" s="1"/>
  <c r="AV40" i="14" s="1"/>
  <c r="AW40" i="14" s="1"/>
  <c r="AX40" i="14" s="1"/>
  <c r="AY40" i="14" s="1"/>
  <c r="AZ40" i="14" s="1"/>
  <c r="BA40" i="14" s="1"/>
  <c r="BB40" i="14" s="1"/>
  <c r="BC40" i="14" s="1"/>
  <c r="BD40" i="14" s="1"/>
  <c r="BE40" i="14" s="1"/>
  <c r="BF40" i="14" s="1"/>
  <c r="BG40" i="14" s="1"/>
  <c r="BH40" i="14" s="1"/>
  <c r="BI40" i="14" s="1"/>
  <c r="BJ40" i="14" s="1"/>
  <c r="AG40" i="14"/>
  <c r="AG41" i="14" s="1"/>
  <c r="H42" i="17" s="1"/>
  <c r="I42" i="17" s="1"/>
  <c r="R42" i="17" s="1"/>
  <c r="P38" i="8"/>
  <c r="B41" i="14"/>
  <c r="P39" i="8"/>
  <c r="G40" i="8"/>
  <c r="K40" i="8" s="1"/>
  <c r="N40" i="8"/>
  <c r="M40" i="8"/>
  <c r="J41" i="17"/>
  <c r="E41" i="8" s="1"/>
  <c r="O41" i="8" s="1"/>
  <c r="R41" i="17"/>
  <c r="N43" i="17"/>
  <c r="N44" i="17"/>
  <c r="T41" i="17" l="1"/>
  <c r="J42" i="17"/>
  <c r="E42" i="8" s="1"/>
  <c r="G42" i="8" s="1"/>
  <c r="G41" i="8"/>
  <c r="K41" i="8" s="1"/>
  <c r="N41" i="8"/>
  <c r="M41" i="8"/>
  <c r="P40" i="8"/>
  <c r="C37" i="9"/>
  <c r="T42" i="17"/>
  <c r="K42" i="8" l="1"/>
  <c r="E44" i="9" s="1"/>
  <c r="G44" i="8"/>
  <c r="J44" i="17"/>
  <c r="I37" i="9" s="1"/>
  <c r="I39" i="9" s="1"/>
  <c r="M42" i="8"/>
  <c r="N42" i="8"/>
  <c r="O42" i="8"/>
  <c r="P41" i="8"/>
  <c r="T43" i="17"/>
  <c r="T44" i="17"/>
  <c r="H38" i="9" l="1"/>
  <c r="J38" i="9"/>
  <c r="K38" i="9" s="1"/>
  <c r="P42" i="8"/>
  <c r="P44" i="8" s="1"/>
  <c r="C38" i="9" s="1"/>
  <c r="G38" i="9" s="1"/>
  <c r="D37" i="9"/>
  <c r="C39" i="9" l="1"/>
  <c r="E38" i="9"/>
  <c r="F38" i="9" s="1"/>
  <c r="D39" i="9"/>
  <c r="J37" i="9"/>
  <c r="G37" i="9"/>
  <c r="E37" i="9"/>
  <c r="F37" i="9" s="1"/>
  <c r="F39" i="9" l="1"/>
  <c r="G39" i="9"/>
  <c r="K37" i="9"/>
  <c r="K39" i="9" s="1"/>
  <c r="J39" i="9"/>
  <c r="E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tc={82511309-0BD3-439F-BED6-7396F5070B73}</author>
  </authors>
  <commentList>
    <comment ref="G12" authorId="0" shapeId="0" xr:uid="{82511309-0BD3-439F-BED6-7396F5070B73}">
      <text>
        <t>[Threaded comment]
Your version of Excel allows you to read this threaded comment; however, any edits to it will get removed if the file is opened in a newer version of Excel. Learn more: https://go.microsoft.com/fwlink/?linkid=870924
Comment:
    Shown for illustration but not used in calculating cost</t>
      </text>
    </comment>
  </commentList>
</comments>
</file>

<file path=xl/sharedStrings.xml><?xml version="1.0" encoding="utf-8"?>
<sst xmlns="http://schemas.openxmlformats.org/spreadsheetml/2006/main" count="242" uniqueCount="220">
  <si>
    <r>
      <t xml:space="preserve">Values throughout the spreadsheet in </t>
    </r>
    <r>
      <rPr>
        <b/>
        <sz val="11"/>
        <color rgb="FF4472C4"/>
        <rFont val="Open Sans"/>
        <family val="2"/>
      </rPr>
      <t>bold blue</t>
    </r>
    <r>
      <rPr>
        <sz val="11"/>
        <color rgb="FF4472C4"/>
        <rFont val="Open Sans"/>
        <family val="2"/>
      </rPr>
      <t xml:space="preserve"> </t>
    </r>
    <r>
      <rPr>
        <sz val="11"/>
        <color theme="1"/>
        <rFont val="Open Sans"/>
        <family val="2"/>
      </rPr>
      <t xml:space="preserve">are intended to be input by the model user.  Data in other cells are calculated and should not need user input.  </t>
    </r>
  </si>
  <si>
    <t>Worksheet: Dashboard and Results</t>
  </si>
  <si>
    <t>This tab contains the assumptions about the turf area(s) to be replaced, a description of the implementation program, and the resulting economic feasibility of the program as a business investment, as a community-wide investment, and as a partnership between the property owner and water provider.   A range of turf replacement scenarios can be quickly examined from this tab.</t>
  </si>
  <si>
    <t>Turf Replacement and Plant Mixes</t>
  </si>
  <si>
    <t>The initial assumptions involve describing the turf replacement project. A single land use consisting of a single acre can be examined as well as multiple land uses with hundreds of acres.</t>
  </si>
  <si>
    <r>
      <t>·</t>
    </r>
    <r>
      <rPr>
        <sz val="7"/>
        <color theme="1"/>
        <rFont val="Open Sans"/>
        <family val="2"/>
      </rPr>
      <t xml:space="preserve">         </t>
    </r>
    <r>
      <rPr>
        <sz val="11"/>
        <color theme="1"/>
        <rFont val="Open Sans"/>
        <family val="2"/>
      </rPr>
      <t xml:space="preserve">Land Use Category column - Up to five land use categories may be included.  Replace the “Category #” with land use category names.  </t>
    </r>
  </si>
  <si>
    <r>
      <t>·</t>
    </r>
    <r>
      <rPr>
        <sz val="7"/>
        <color theme="1"/>
        <rFont val="Open Sans"/>
        <family val="2"/>
      </rPr>
      <t xml:space="preserve">         </t>
    </r>
    <r>
      <rPr>
        <sz val="11"/>
        <color theme="1"/>
        <rFont val="Open Sans"/>
        <family val="2"/>
      </rPr>
      <t xml:space="preserve">Total turf acres column – Enter existing turf area in acres, by land use category. If a particular land use row is not to be considered, simply input zero as the “Total turf acres” value as was done for Category 5 in the example above.    </t>
    </r>
  </si>
  <si>
    <r>
      <t>·</t>
    </r>
    <r>
      <rPr>
        <sz val="7"/>
        <color theme="1"/>
        <rFont val="Open Sans"/>
        <family val="2"/>
      </rPr>
      <t xml:space="preserve">         </t>
    </r>
    <r>
      <rPr>
        <sz val="11"/>
        <color theme="1"/>
        <rFont val="Open Sans"/>
        <family val="2"/>
      </rPr>
      <t>% of total replaced column – Enter the percentage of total turf acreage to be converted for each land use category used.</t>
    </r>
  </si>
  <si>
    <r>
      <t>·</t>
    </r>
    <r>
      <rPr>
        <sz val="7"/>
        <color theme="1"/>
        <rFont val="Open Sans"/>
        <family val="2"/>
      </rPr>
      <t xml:space="preserve">         </t>
    </r>
    <r>
      <rPr>
        <sz val="11"/>
        <color theme="1"/>
        <rFont val="Open Sans"/>
        <family val="2"/>
      </rPr>
      <t xml:space="preserve">% replaced with [new landscape type] columns (3) – For turf acres being replaced, identify the replacement landscaping by percentage (total must equal 100%).  </t>
    </r>
  </si>
  <si>
    <t>Assumptions about turf implementation and water provider subsidies</t>
  </si>
  <si>
    <r>
      <t xml:space="preserve">Enter </t>
    </r>
    <r>
      <rPr>
        <b/>
        <sz val="11"/>
        <color rgb="FF4472C4"/>
        <rFont val="Open Sans"/>
        <family val="2"/>
      </rPr>
      <t>bold blue</t>
    </r>
    <r>
      <rPr>
        <sz val="11"/>
        <color theme="1"/>
        <rFont val="Open Sans"/>
        <family val="2"/>
      </rPr>
      <t xml:space="preserve"> values as described. Of specific note:</t>
    </r>
  </si>
  <si>
    <r>
      <t>·</t>
    </r>
    <r>
      <rPr>
        <sz val="7"/>
        <color theme="1"/>
        <rFont val="Open Sans"/>
        <family val="2"/>
      </rPr>
      <t xml:space="preserve">         </t>
    </r>
    <r>
      <rPr>
        <sz val="11"/>
        <color theme="1"/>
        <rFont val="Open Sans"/>
        <family val="2"/>
      </rPr>
      <t>Water provider incentive (subsidy) to property owner(s) - Water providers may choose to provide a subsidy to property owners to replace turf on a $ per square foot basis. This value is input and may be zeroed out or changed to evaluate the role a $ per square foot subsidy can play in the turf replacement investment decision. Note that any portion of subsidies that are from grants, should not be included here but rather captured below under "Grant funds received for installation"</t>
    </r>
  </si>
  <si>
    <r>
      <t>·</t>
    </r>
    <r>
      <rPr>
        <sz val="7"/>
        <color theme="1"/>
        <rFont val="Open Sans"/>
        <family val="2"/>
      </rPr>
      <t xml:space="preserve">         </t>
    </r>
    <r>
      <rPr>
        <sz val="11"/>
        <color theme="1"/>
        <rFont val="Open Sans"/>
        <family val="2"/>
      </rPr>
      <t xml:space="preserve">Grant funds received for installation - Grant funds may be available to turf replacement programs and projects and up-front capital expenditures.  The user may enter a total value of grant funds received.  Any grant funds are assumed to be used in the first year of the analysis and reduce the installation costs. </t>
    </r>
  </si>
  <si>
    <r>
      <t>·</t>
    </r>
    <r>
      <rPr>
        <sz val="7"/>
        <color theme="1"/>
        <rFont val="Open Sans"/>
        <family val="2"/>
      </rPr>
      <t xml:space="preserve">         </t>
    </r>
    <r>
      <rPr>
        <sz val="11"/>
        <color theme="1"/>
        <rFont val="Open Sans"/>
        <family val="2"/>
      </rPr>
      <t xml:space="preserve">Should foregone water sales revenue be considered a water provider cost? Yes or No – Enter “Yes” or “No” to determine whether foregone water enterprise revenues due to water use reductions attributable to turf replacement will be included in analysis. The default recommendation is “No”. In most cases, enterprise-wide water usage reductions caused by turf replacement will be incremental in nature, likely within average annual variability in water sales.  In effect, including foregone water sales required turf replacement to be less expensive than the retail price of water, on a per unit basis.  This is a high bar to clear for otherwise cost-effective measures.  Conversely, conservation measures such as those imposed in a Phase 2 or Phase 3 drought response will likely have significant revenue impacts because the water savings are anticipated to be more than incremental.  </t>
    </r>
  </si>
  <si>
    <t>Results Present value of turf replacement benefits and costs over 30 years; economic evaluation</t>
  </si>
  <si>
    <t xml:space="preserve">The results table values are calculated and require no user input.  </t>
  </si>
  <si>
    <r>
      <t>·</t>
    </r>
    <r>
      <rPr>
        <sz val="7"/>
        <color theme="1"/>
        <rFont val="Open Sans"/>
        <family val="2"/>
      </rPr>
      <t xml:space="preserve">         </t>
    </r>
    <r>
      <rPr>
        <sz val="11"/>
        <color theme="1"/>
        <rFont val="Open Sans"/>
        <family val="2"/>
      </rPr>
      <t>From the perspective of both property owner and water provider, program costs and benefits are estimated over a 30-year time horizon and expressed as their present values, based on a 3.0 percent, inflation-free discount rate.</t>
    </r>
  </si>
  <si>
    <r>
      <t>·</t>
    </r>
    <r>
      <rPr>
        <sz val="7"/>
        <color theme="1"/>
        <rFont val="Open Sans"/>
        <family val="2"/>
      </rPr>
      <t xml:space="preserve">         </t>
    </r>
    <r>
      <rPr>
        <sz val="11"/>
        <color theme="1"/>
        <rFont val="Open Sans"/>
        <family val="2"/>
      </rPr>
      <t xml:space="preserve">Program benefits for the property owner are the reduced water bills resulting from lower water usage and potential reductions in annual maintenance costs associated with a less water-intensive landscape.  Program costs for the property owner include the cost of installation, annual operation and maintenance of the new landscape, and periodic replacements of plantings and irrigation equipment.  </t>
    </r>
  </si>
  <si>
    <r>
      <t>·</t>
    </r>
    <r>
      <rPr>
        <sz val="7"/>
        <color theme="1"/>
        <rFont val="Open Sans"/>
        <family val="2"/>
      </rPr>
      <t xml:space="preserve">         </t>
    </r>
    <r>
      <rPr>
        <sz val="11"/>
        <color theme="1"/>
        <rFont val="Open Sans"/>
        <family val="2"/>
      </rPr>
      <t xml:space="preserve">Program benefits for the water provider include the avoided cost of acquiring additional raw water and reduced usage of critical treatment and transmission infrastructure during peak summer demands.  Program costs include any subsidies the water provider opts to provide.  </t>
    </r>
  </si>
  <si>
    <r>
      <t>·</t>
    </r>
    <r>
      <rPr>
        <sz val="7"/>
        <color theme="1"/>
        <rFont val="Open Sans"/>
        <family val="2"/>
      </rPr>
      <t xml:space="preserve">         </t>
    </r>
    <r>
      <rPr>
        <sz val="11"/>
        <color theme="1"/>
        <rFont val="Open Sans"/>
        <family val="2"/>
      </rPr>
      <t>Total net benefit ($) – Total net benefit is the difference between net present benefits and net present costs.  Net benefit is also expressed on an annual equivalent basis for context.</t>
    </r>
  </si>
  <si>
    <r>
      <t>·</t>
    </r>
    <r>
      <rPr>
        <sz val="7"/>
        <color theme="1"/>
        <rFont val="Open Sans"/>
        <family val="2"/>
      </rPr>
      <t xml:space="preserve">         </t>
    </r>
    <r>
      <rPr>
        <sz val="11"/>
        <color theme="1"/>
        <rFont val="Open Sans"/>
        <family val="2"/>
      </rPr>
      <t xml:space="preserve">Benefit/cost ratio - The benefit cost ratio is net present benefits divided by net present costs, with a ratio of 1.0 or greater signifying a good investment.  </t>
    </r>
  </si>
  <si>
    <t>Foregone utility revenues due to water savings</t>
  </si>
  <si>
    <t xml:space="preserve">Regardless of whether foregone water enterprise revenues are included in the benefit-cost calculations, they are tracked and reported.  Foregone revenues, in terms of percent of the enterprise’s total revenue requirement are provided at various points in the planning horizon.  </t>
  </si>
  <si>
    <t>Worksheet: Water Provider Assumptions</t>
  </si>
  <si>
    <t>Critical assumptions unique to the water provider</t>
  </si>
  <si>
    <t xml:space="preserve">Economic feasibility depends on a range of additional assumptions about the current costs of maintaining turf, the cost of replacing it with a more water efficient landscape, future O&amp;M expenditures for the new landscape, and how the conserved water is valued.  </t>
  </si>
  <si>
    <t xml:space="preserve">Since the benefits of a turf retrofit program include avoiding, or delaying, raw water purchases and reducing system peak demand, a range of information is needed about the local water provider.  </t>
  </si>
  <si>
    <r>
      <t>·</t>
    </r>
    <r>
      <rPr>
        <sz val="7"/>
        <color theme="1"/>
        <rFont val="Open Sans"/>
        <family val="2"/>
      </rPr>
      <t xml:space="preserve">         </t>
    </r>
    <r>
      <rPr>
        <sz val="11"/>
        <color theme="1"/>
        <rFont val="Open Sans"/>
        <family val="2"/>
      </rPr>
      <t>Avoided water supply cost.  This is the cost of raw water supply, whether it’s developed by the utility as part of an engineering project or through purchased water rights.   It may be appropriate to set this value to 0.0 when a community has already acquired raw water supplies anticipated to be needed at build-out. For communities that have sufficient water supplies, saved water could potentially be leased.  Either ‘Avoided water supply cost’ or ‘Value of conserved water, if leased’ (lower down in the table) should be entered, but not both.</t>
    </r>
  </si>
  <si>
    <r>
      <t>·</t>
    </r>
    <r>
      <rPr>
        <sz val="7"/>
        <color theme="1"/>
        <rFont val="Open Sans"/>
        <family val="2"/>
      </rPr>
      <t xml:space="preserve">         </t>
    </r>
    <r>
      <rPr>
        <sz val="11"/>
        <color theme="1"/>
        <rFont val="Open Sans"/>
        <family val="2"/>
      </rPr>
      <t xml:space="preserve">For providers still acquiring raw water, the avoided supply cost is converted to an annual equivalent value, on a $ per thousand gallons basis.  For many providers, this value may be the basis of the water provider’s turf replacement benefit. </t>
    </r>
  </si>
  <si>
    <r>
      <t>·</t>
    </r>
    <r>
      <rPr>
        <sz val="7"/>
        <color theme="1"/>
        <rFont val="Open Sans"/>
        <family val="2"/>
      </rPr>
      <t xml:space="preserve">         </t>
    </r>
    <r>
      <rPr>
        <sz val="11"/>
        <color theme="1"/>
        <rFont val="Open Sans"/>
        <family val="2"/>
      </rPr>
      <t>For those providers who already have assured supplies through build-out or are otherwise faced with a temporary surplus of raw water, an opportunity to lease conserved water is shown.  This situation may apply, for instance, to municipal water suppliers who hold Colorado-Big Thompson supplies, who periodically dedicate unused annual surpluses to the C-BT lease pool.  As noted above, either ‘Avoided water supply cost’ or ‘Value of conserved water, if leased’ (lower down in the table) should be entered, but not both.</t>
    </r>
  </si>
  <si>
    <r>
      <t>·</t>
    </r>
    <r>
      <rPr>
        <sz val="7"/>
        <color theme="1"/>
        <rFont val="Open Sans"/>
        <family val="2"/>
      </rPr>
      <t xml:space="preserve">         </t>
    </r>
    <r>
      <rPr>
        <sz val="11"/>
        <color theme="1"/>
        <rFont val="Open Sans"/>
        <family val="2"/>
      </rPr>
      <t>“Real” inflation free rate of increase in raw water costs may be entered. Here, it is assumed that the cost of raw water is increasing at 2 percent per year beyond the rate of inflation.</t>
    </r>
  </si>
  <si>
    <r>
      <t>·</t>
    </r>
    <r>
      <rPr>
        <sz val="7"/>
        <color theme="1"/>
        <rFont val="Open Sans"/>
        <family val="2"/>
      </rPr>
      <t xml:space="preserve">         </t>
    </r>
    <r>
      <rPr>
        <sz val="11"/>
        <color theme="1"/>
        <rFont val="Open Sans"/>
        <family val="2"/>
      </rPr>
      <t xml:space="preserve">Treatment and distribution costs are used to calculate savings resulting in reducing peak day demands based on the treatment and transmission components of the water provider’s water rates. This is an additional benefit for the water provider and its customers beyond water avoided water acquisition costs. </t>
    </r>
  </si>
  <si>
    <r>
      <t>·</t>
    </r>
    <r>
      <rPr>
        <sz val="7"/>
        <color theme="1"/>
        <rFont val="Open Sans"/>
        <family val="2"/>
      </rPr>
      <t xml:space="preserve">         </t>
    </r>
    <r>
      <rPr>
        <sz val="11"/>
        <color theme="1"/>
        <rFont val="Open Sans"/>
        <family val="2"/>
      </rPr>
      <t>Retail cost for landscape water is what the customer pays.  A major portion of the program benefit accruing to the property owner or manager are based on reduced water purchases.  Here this charge is assumed to increase at a rate of 2 percent per year beyond inflation.</t>
    </r>
  </si>
  <si>
    <r>
      <t>·</t>
    </r>
    <r>
      <rPr>
        <sz val="7"/>
        <color theme="1"/>
        <rFont val="Open Sans"/>
        <family val="2"/>
      </rPr>
      <t xml:space="preserve">         </t>
    </r>
    <r>
      <rPr>
        <sz val="11"/>
        <color theme="1"/>
        <rFont val="Open Sans"/>
        <family val="2"/>
      </rPr>
      <t xml:space="preserve">Finally, the water provider’s annual revenue requirements are shown.  In the example, $30 million is required to be collected annually through water charges.  The value of the conserved water is compared to the annual revenue requirements to determine if turf replacement results in a significant drop in utility revenues.  This value is not typically used in the benefit-cost calculations but simply provides context for the magnitude of the potential adverse financial impact of conservation relative to total revenue needs.  </t>
    </r>
  </si>
  <si>
    <t>Critical assumptions regarding landscaping supplemental irrigation needs</t>
  </si>
  <si>
    <t xml:space="preserve">Annual plant supplemental irrigation needs are used to calculate water savings from replacing turf with other landscaping. Irrigation needs vary regionally so local values should be input by the water provider. </t>
  </si>
  <si>
    <t>Worksheet: O&amp;M Assumptions</t>
  </si>
  <si>
    <t xml:space="preserve">The remainder of the assumptions used in this analysis are related to current turf-related operation and maintenance costs (O&amp;M), replacement installation costs, and revised O&amp;M costs with new landscaping.  </t>
  </si>
  <si>
    <t>Critical assumptions about current O&amp;M costs for turf</t>
  </si>
  <si>
    <t>The O&amp;M estimate for the turf being replaced is shown below.  Default values provided are based on costs from several Colorado projects and may be replaced by user data if desired.</t>
  </si>
  <si>
    <t>Critical assumptions about turf replacement costs and annual O&amp;M</t>
  </si>
  <si>
    <t>These are critical assumptions about the cost of replacing turf with native grass and xeric plantings, plus their associated O&amp;M over time.  Default values provided are based on costs from several Colorado projects and may be replaced by user data if desired.</t>
  </si>
  <si>
    <r>
      <t>·</t>
    </r>
    <r>
      <rPr>
        <sz val="7"/>
        <color theme="1"/>
        <rFont val="Open Sans"/>
        <family val="2"/>
      </rPr>
      <t xml:space="preserve">         </t>
    </r>
    <r>
      <rPr>
        <sz val="11"/>
        <color theme="1"/>
        <rFont val="Open Sans"/>
        <family val="2"/>
      </rPr>
      <t>The proportion of replacement by type is linked to the ‘dashboard and results’ sheet and does not require user input</t>
    </r>
  </si>
  <si>
    <r>
      <t>·</t>
    </r>
    <r>
      <rPr>
        <sz val="7"/>
        <color theme="1"/>
        <rFont val="Open Sans"/>
        <family val="2"/>
      </rPr>
      <t xml:space="preserve">         </t>
    </r>
    <r>
      <rPr>
        <sz val="11"/>
        <color theme="1"/>
        <rFont val="Open Sans"/>
        <family val="2"/>
      </rPr>
      <t>Replacement expenditures on a $ per square foot basis are assumed based on data summarized in the graphics below, entitled “Turf to native grass conversion costs from various sources” and “Turf to xeric plantings conversion”.</t>
    </r>
  </si>
  <si>
    <t>Calculations</t>
  </si>
  <si>
    <r>
      <t>·</t>
    </r>
    <r>
      <rPr>
        <sz val="7"/>
        <color theme="1"/>
        <rFont val="Open Sans"/>
        <family val="2"/>
      </rPr>
      <t xml:space="preserve">         </t>
    </r>
    <r>
      <rPr>
        <sz val="11"/>
        <color theme="1"/>
        <rFont val="Open Sans"/>
        <family val="2"/>
      </rPr>
      <t>The worksheets ‘business decision calcs’ and ‘provider community calcs’ show the year-to-year calculations behind the benefit and cost summaries. No user input is required in these worksheets.</t>
    </r>
  </si>
  <si>
    <r>
      <t>·</t>
    </r>
    <r>
      <rPr>
        <sz val="7"/>
        <color theme="1"/>
        <rFont val="Open Sans"/>
        <family val="2"/>
      </rPr>
      <t xml:space="preserve">         </t>
    </r>
    <r>
      <rPr>
        <sz val="11"/>
        <color theme="1"/>
        <rFont val="Open Sans"/>
        <family val="2"/>
      </rPr>
      <t>The worksheets ‘O&amp;M cost matrix’ and ‘revised water usage matrix’ account for each year’s O&amp;M expenditures and water usage. No user input is required in these worksheets.</t>
    </r>
  </si>
  <si>
    <r>
      <t xml:space="preserve">The values in </t>
    </r>
    <r>
      <rPr>
        <b/>
        <i/>
        <sz val="12"/>
        <color theme="4"/>
        <rFont val="Open Sans"/>
        <family val="2"/>
      </rPr>
      <t xml:space="preserve">bold blue </t>
    </r>
    <r>
      <rPr>
        <i/>
        <sz val="12"/>
        <color theme="1"/>
        <rFont val="Open Sans"/>
        <family val="2"/>
      </rPr>
      <t>below are entered by the user and may be changed.  Other values are calculated so should not be changed in this sheet. Results are below critical assumptions.</t>
    </r>
  </si>
  <si>
    <t>Critical assumptions about turf replacement acres and plant mixes</t>
  </si>
  <si>
    <t>Land Use Category</t>
  </si>
  <si>
    <t>Total turf acres</t>
  </si>
  <si>
    <t>% of total replaced</t>
  </si>
  <si>
    <t>Acres replaced</t>
  </si>
  <si>
    <t>% replaced with native grass</t>
  </si>
  <si>
    <t>% replaced with low water use plantings</t>
  </si>
  <si>
    <t>% replaced with non-irrigated and hardscape</t>
  </si>
  <si>
    <t>Total</t>
  </si>
  <si>
    <t>Category 1</t>
  </si>
  <si>
    <t>Category 2</t>
  </si>
  <si>
    <t>Category 3</t>
  </si>
  <si>
    <t>Category 4</t>
  </si>
  <si>
    <t>Category 5</t>
  </si>
  <si>
    <t>Replacement Landscaping</t>
  </si>
  <si>
    <t>Native Grass</t>
  </si>
  <si>
    <t>Low water use plantings</t>
  </si>
  <si>
    <r>
      <t>Non-irrigated and hardscape</t>
    </r>
    <r>
      <rPr>
        <b/>
        <vertAlign val="superscript"/>
        <sz val="11"/>
        <rFont val="Open Sans"/>
        <family val="2"/>
      </rPr>
      <t>1</t>
    </r>
  </si>
  <si>
    <t>Total Acres</t>
  </si>
  <si>
    <t>Percentages</t>
  </si>
  <si>
    <r>
      <rPr>
        <vertAlign val="superscript"/>
        <sz val="11"/>
        <color theme="1"/>
        <rFont val="Open Sans"/>
        <family val="2"/>
      </rPr>
      <t>1</t>
    </r>
    <r>
      <rPr>
        <sz val="11"/>
        <color theme="1"/>
        <rFont val="Open Sans"/>
        <family val="2"/>
      </rPr>
      <t xml:space="preserve"> Economic analyses assume area is equally divided between "non-irrigated areas" and "hardscape".</t>
    </r>
  </si>
  <si>
    <t>Critical assumptions about turf implementation and water provider subsidies</t>
  </si>
  <si>
    <t>Unit</t>
  </si>
  <si>
    <t>Notes:</t>
  </si>
  <si>
    <t>Acres replaced in year 1</t>
  </si>
  <si>
    <t>acres</t>
  </si>
  <si>
    <t>For single year projects should equal total acres replaced; for multi-year projects is acreage replaced in year 1</t>
  </si>
  <si>
    <t>Annual rate of adoption</t>
  </si>
  <si>
    <t>acres/year</t>
  </si>
  <si>
    <t>For multi-year projects, this is the rate in which turf is replaced on an annual basis, otherwise set to 0</t>
  </si>
  <si>
    <t>Maximum potential acres</t>
  </si>
  <si>
    <t>Link to total acres replaced calculated above</t>
  </si>
  <si>
    <t>Annual rate of increase in ET</t>
  </si>
  <si>
    <t>%</t>
  </si>
  <si>
    <t>Assumed percent annual increase in plant ET resulting from climate change. May be set to 0.0%.</t>
  </si>
  <si>
    <t xml:space="preserve">Usage pre-Program, turf </t>
  </si>
  <si>
    <t>acre-ft/acre</t>
  </si>
  <si>
    <t xml:space="preserve">This value is linked to the "water provider assumptions' tab and is input there by water provider. </t>
  </si>
  <si>
    <t>Usage post-Program, weighted across plant types</t>
  </si>
  <si>
    <t xml:space="preserve">Calculated value based new landscaping. </t>
  </si>
  <si>
    <t>Water provider incentive (subsidy) to property owner(s)</t>
  </si>
  <si>
    <t>$/sq.ft.</t>
  </si>
  <si>
    <t xml:space="preserve">Incentive subsidy offered by the water provider. Any portion of subsidies that are from grants, should not be included here but rather captured below under "Grant funds received for installation" </t>
  </si>
  <si>
    <t>Grant funds received for installation (total grant amount)</t>
  </si>
  <si>
    <t>$</t>
  </si>
  <si>
    <t>Total amount of any grant funds received for turf replacement.  Full amount is assumed to be used in year 1.</t>
  </si>
  <si>
    <t>Should foregone water sales revenues be considered a water provider cost?  Yes or No</t>
  </si>
  <si>
    <t>No</t>
  </si>
  <si>
    <t>In most cases, enterprise-wide water usage reductions caused by turf replacement will be incremental in nature, likely within average annual variability in water sales.  Recommendation is that "No" be entered.</t>
  </si>
  <si>
    <t>Results:  Present value of turf replacement benefits and costs over 30 years; economic evaluation</t>
  </si>
  <si>
    <t>Net present value of benefit (30 years discounted @3%)</t>
  </si>
  <si>
    <t>Net present value of cost (30 years @ 3%)</t>
  </si>
  <si>
    <t>Total net benefit ($)</t>
  </si>
  <si>
    <t>Annual equivalent net benefit ($/year)</t>
  </si>
  <si>
    <t>Benefit/cost ratio</t>
  </si>
  <si>
    <t>Potential impact on utility revenues (%)</t>
  </si>
  <si>
    <t>Water conserved over 30 years (acre-feet)</t>
  </si>
  <si>
    <t xml:space="preserve">Cost per acre-foot conserved </t>
  </si>
  <si>
    <t>Annual equivalent cost per acre-foot conserved</t>
  </si>
  <si>
    <t>Evaluated from property owner perspective purely as economic decision</t>
  </si>
  <si>
    <t>na</t>
  </si>
  <si>
    <t>Evaluated from perspective of the water provider</t>
  </si>
  <si>
    <t>Combined</t>
  </si>
  <si>
    <t>Reduction in revenues as a percentage of the enterprise's revenue requirements</t>
  </si>
  <si>
    <t>5 years</t>
  </si>
  <si>
    <t>10 years</t>
  </si>
  <si>
    <t>30 years</t>
  </si>
  <si>
    <t>Reduction in enterprise revenues evaluated at landscape tier price</t>
  </si>
  <si>
    <r>
      <t xml:space="preserve">The values in </t>
    </r>
    <r>
      <rPr>
        <b/>
        <i/>
        <sz val="12"/>
        <color theme="4"/>
        <rFont val="Open Sans"/>
        <family val="2"/>
      </rPr>
      <t xml:space="preserve">bold blue </t>
    </r>
    <r>
      <rPr>
        <i/>
        <sz val="12"/>
        <color theme="1"/>
        <rFont val="Open Sans"/>
        <family val="2"/>
      </rPr>
      <t>below are entered by the user and may be changed.  Other values are calculated so should not be changed in this sheet.</t>
    </r>
  </si>
  <si>
    <t>Value of conserved water:</t>
  </si>
  <si>
    <t>Avoided water supply cost, $/acre-foot</t>
  </si>
  <si>
    <r>
      <t xml:space="preserve">Per acre-foot of raw water. Note that either this field </t>
    </r>
    <r>
      <rPr>
        <u/>
        <sz val="10"/>
        <color theme="1"/>
        <rFont val="Open Sans"/>
        <family val="2"/>
      </rPr>
      <t>or</t>
    </r>
    <r>
      <rPr>
        <sz val="10"/>
        <color theme="1"/>
        <rFont val="Open Sans"/>
        <family val="2"/>
      </rPr>
      <t xml:space="preserve"> the 'Value of conserved water, if leased' below should be entered. Do not enter data in both fields.</t>
    </r>
  </si>
  <si>
    <t>Annual equivalent avoided water supply cost, $/1,000 gal.</t>
  </si>
  <si>
    <t>Annualized water cost (raw water cost amortized over 30 years @ 3.0%)</t>
  </si>
  <si>
    <t>Value of conserved water, if leased ($/acre-foot)</t>
  </si>
  <si>
    <r>
      <t xml:space="preserve">Potential lease revenue. Note that either this field </t>
    </r>
    <r>
      <rPr>
        <u/>
        <sz val="10"/>
        <color theme="1"/>
        <rFont val="Open Sans"/>
        <family val="2"/>
      </rPr>
      <t>or</t>
    </r>
    <r>
      <rPr>
        <sz val="10"/>
        <color theme="1"/>
        <rFont val="Open Sans"/>
        <family val="2"/>
      </rPr>
      <t xml:space="preserve"> the Avoided water supply cost (row 7) above should be entered. Do not enter data in both fields.</t>
    </r>
  </si>
  <si>
    <t>"Real" inflation free rate of increase in raw water costs</t>
  </si>
  <si>
    <t>This rate of increase is in addition to any inflationary increases</t>
  </si>
  <si>
    <t>Treatment and distribution, $/1,000 gallons</t>
  </si>
  <si>
    <t>This value is intended to represent water provider costs aside from raw water</t>
  </si>
  <si>
    <t>Retail cost for landscape water, $/1,000 gal</t>
  </si>
  <si>
    <t>Actual landscape rate, aka the opportunity cost of the conserved water</t>
  </si>
  <si>
    <t>"Real" rate of annual water rate increase</t>
  </si>
  <si>
    <t>Rate of increase in water rates over time above inflationary increases</t>
  </si>
  <si>
    <t>Utility's annual revenue requirement through rates</t>
  </si>
  <si>
    <t>This figure is used to put context into reductions in utility revenues from reduced water sales</t>
  </si>
  <si>
    <t>Annual real rate of increase in revenue requirements</t>
  </si>
  <si>
    <t>"Real" increase represents the growth rate of the utility enterprise</t>
  </si>
  <si>
    <t xml:space="preserve">Annual cost escalation </t>
  </si>
  <si>
    <t>This is a switch for inflation, which is held to zero for this analysis</t>
  </si>
  <si>
    <t>Annual plant supplemental irrigation needs are used to calculate water savings. These vary regionally so local values should be input by the water provider.</t>
  </si>
  <si>
    <t>Vegetation Type</t>
  </si>
  <si>
    <t>Annual Supplemental Irrigation Needs</t>
  </si>
  <si>
    <t>AF/Acre Water Saved v Turf</t>
  </si>
  <si>
    <t>Percent Decrease from Turf</t>
  </si>
  <si>
    <t>Data for conversions</t>
  </si>
  <si>
    <t>gal/ft2</t>
  </si>
  <si>
    <t>gal/acre</t>
  </si>
  <si>
    <t>AF/acre</t>
  </si>
  <si>
    <t>depth of 1" water on an acre of land in gallons</t>
  </si>
  <si>
    <t>cool season turfgrass</t>
  </si>
  <si>
    <t>gallons/af</t>
  </si>
  <si>
    <t>native grass</t>
  </si>
  <si>
    <t>ft2/acre</t>
  </si>
  <si>
    <t>regional plants (low water use)</t>
  </si>
  <si>
    <r>
      <t xml:space="preserve">The values in </t>
    </r>
    <r>
      <rPr>
        <b/>
        <i/>
        <sz val="12"/>
        <color theme="4"/>
        <rFont val="Open Sans"/>
        <family val="2"/>
      </rPr>
      <t xml:space="preserve">bold blue </t>
    </r>
    <r>
      <rPr>
        <i/>
        <sz val="12"/>
        <color theme="1"/>
        <rFont val="Open Sans"/>
        <family val="2"/>
      </rPr>
      <t xml:space="preserve">below may be entered by the user.  Default values provided are based on data from several Colorado projects. </t>
    </r>
  </si>
  <si>
    <t>Native grass, irrigated</t>
  </si>
  <si>
    <t>Regional plants (low water use)</t>
  </si>
  <si>
    <t>Non-irrigated native grass</t>
  </si>
  <si>
    <t>Non-irrigated hardscape</t>
  </si>
  <si>
    <t>Weighted values</t>
  </si>
  <si>
    <t>Annual maintenance ($/acre)</t>
  </si>
  <si>
    <t xml:space="preserve">Mowing </t>
  </si>
  <si>
    <t>Proportion of replacement by type</t>
  </si>
  <si>
    <t>Grounds maintenance</t>
  </si>
  <si>
    <t>Fertilizer and pesticide</t>
  </si>
  <si>
    <t>Replacement expenditures ($/sq ft)</t>
  </si>
  <si>
    <t>Irrigation system</t>
  </si>
  <si>
    <t>Site costs (mobilization, erosion control, tree protection, const fence)</t>
  </si>
  <si>
    <t>per acre</t>
  </si>
  <si>
    <t>Ground preparation</t>
  </si>
  <si>
    <t>per square foot</t>
  </si>
  <si>
    <t>Materials</t>
  </si>
  <si>
    <t>Installation</t>
  </si>
  <si>
    <t>Totals</t>
  </si>
  <si>
    <t>With contingency</t>
  </si>
  <si>
    <t>Contingency</t>
  </si>
  <si>
    <t>Operation and maintenance expenditures ($/acre),</t>
  </si>
  <si>
    <t>O&amp;M expenditure, year 1</t>
  </si>
  <si>
    <t>O&amp;M expenditure, year 2</t>
  </si>
  <si>
    <t>O&amp;M expenditure, year 3 and beyond</t>
  </si>
  <si>
    <t>Periodic replacements (1/10)</t>
  </si>
  <si>
    <t>On a square foot basis</t>
  </si>
  <si>
    <t>Revised landscape water usage (acre-feet/acre)</t>
  </si>
  <si>
    <t>In 1,000 gallons</t>
  </si>
  <si>
    <t>Year 1</t>
  </si>
  <si>
    <t>Year 2</t>
  </si>
  <si>
    <t>Year 3 and thereafter</t>
  </si>
  <si>
    <t>Data in this sheet are calculated so should not be changed.</t>
  </si>
  <si>
    <t>Avoided turf costs</t>
  </si>
  <si>
    <t>Program Costs</t>
  </si>
  <si>
    <t>Cumulative acres</t>
  </si>
  <si>
    <t>Turf water usage, pre-Program (acre-feet), inc. ET impacts</t>
  </si>
  <si>
    <t>Revised water usage with Program (acre-feet), w/o ET</t>
  </si>
  <si>
    <t>Revised water usage with ET impacts</t>
  </si>
  <si>
    <t>Net savings (acre-feet)</t>
  </si>
  <si>
    <t>Pre-Program water expenditures</t>
  </si>
  <si>
    <t>Pre-Program O&amp;M expenditures</t>
  </si>
  <si>
    <t>Total Pre-Program expenditures</t>
  </si>
  <si>
    <t>Cost of turf replacement</t>
  </si>
  <si>
    <t>Utility subsidy</t>
  </si>
  <si>
    <t>Post-Program water expenditures</t>
  </si>
  <si>
    <t>O&amp;M expenditure</t>
  </si>
  <si>
    <t>Total reduction in usage, acre-feet</t>
  </si>
  <si>
    <t>Present value @3%</t>
  </si>
  <si>
    <t>Program expenditures</t>
  </si>
  <si>
    <t>Avoided system costs</t>
  </si>
  <si>
    <t>Participating acreage</t>
  </si>
  <si>
    <t>Savings (acre-feet), inc. ET increase</t>
  </si>
  <si>
    <t>Foregone revenue at landscape price tier</t>
  </si>
  <si>
    <t>Cost of subsidy</t>
  </si>
  <si>
    <t>Total utility cost</t>
  </si>
  <si>
    <t>% of utility's revenue requirement</t>
  </si>
  <si>
    <t>Net reduction in treatment and distribution cost</t>
  </si>
  <si>
    <t>Value of conserved raw water</t>
  </si>
  <si>
    <t>Lease of conserved water</t>
  </si>
  <si>
    <t>Total economic benefit (avoided costs plus lease revenues)</t>
  </si>
  <si>
    <t>O&amp;M cost matrix</t>
  </si>
  <si>
    <t>Total annual O&amp;M</t>
  </si>
  <si>
    <t>Revised water usage matrix</t>
  </si>
  <si>
    <t>Less grant funds</t>
  </si>
  <si>
    <t>inches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</si>
</sst>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
    <numFmt numFmtId="168" formatCode="_(&quot;$&quot;* #,##0.000_);_(&quot;$&quot;* \(#,##0.000\);_(&quot;$&quot;* &quot;-&quot;??_);_(@_)"/>
    <numFmt numFmtId="169" formatCode="_(* #,##0.0_);_(* \(#,##0.0\);_(* &quot;-&quot;??_);_(@_)"/>
    <numFmt numFmtId="170" formatCode="#,##0.0"/>
  </numFmts>
  <fonts count="29" x14ac:knownFonts="1">
    <font>
      <sz val="11"/>
      <color theme="1"/>
      <name val="Calibri"/>
      <family val="2"/>
      <scheme val="minor"/>
    </font>
    <font>
      <sz val="11"/>
      <color theme="1"/>
      <name val="Calibri"/>
      <family val="2"/>
      <scheme val="minor"/>
    </font>
    <font>
      <sz val="11"/>
      <color theme="1"/>
      <name val="Open Sans"/>
      <family val="2"/>
    </font>
    <font>
      <b/>
      <sz val="11"/>
      <color rgb="FF4472C4"/>
      <name val="Open Sans"/>
      <family val="2"/>
    </font>
    <font>
      <sz val="11"/>
      <color rgb="FF4472C4"/>
      <name val="Open Sans"/>
      <family val="2"/>
    </font>
    <font>
      <b/>
      <sz val="13"/>
      <color rgb="FF2F5496"/>
      <name val="Open Sans"/>
      <family val="2"/>
    </font>
    <font>
      <sz val="12"/>
      <color rgb="FF1F3763"/>
      <name val="Open Sans"/>
      <family val="2"/>
    </font>
    <font>
      <sz val="7"/>
      <color theme="1"/>
      <name val="Open Sans"/>
      <family val="2"/>
    </font>
    <font>
      <sz val="13"/>
      <color rgb="FF2F5496"/>
      <name val="Open Sans"/>
      <family val="2"/>
    </font>
    <font>
      <i/>
      <sz val="12"/>
      <color theme="1"/>
      <name val="Open Sans"/>
      <family val="2"/>
    </font>
    <font>
      <b/>
      <i/>
      <sz val="12"/>
      <color theme="4"/>
      <name val="Open Sans"/>
      <family val="2"/>
    </font>
    <font>
      <b/>
      <i/>
      <sz val="14"/>
      <color theme="1"/>
      <name val="Open Sans"/>
      <family val="2"/>
    </font>
    <font>
      <i/>
      <sz val="10"/>
      <color theme="1"/>
      <name val="Open Sans"/>
      <family val="2"/>
    </font>
    <font>
      <sz val="11"/>
      <name val="Open Sans"/>
      <family val="2"/>
    </font>
    <font>
      <b/>
      <sz val="11"/>
      <name val="Open Sans"/>
      <family val="2"/>
    </font>
    <font>
      <b/>
      <sz val="11"/>
      <color theme="1"/>
      <name val="Open Sans"/>
      <family val="2"/>
    </font>
    <font>
      <b/>
      <sz val="11"/>
      <color theme="4"/>
      <name val="Open Sans"/>
      <family val="2"/>
    </font>
    <font>
      <b/>
      <vertAlign val="superscript"/>
      <sz val="11"/>
      <name val="Open Sans"/>
      <family val="2"/>
    </font>
    <font>
      <vertAlign val="superscript"/>
      <sz val="11"/>
      <color theme="1"/>
      <name val="Open Sans"/>
      <family val="2"/>
    </font>
    <font>
      <i/>
      <sz val="11"/>
      <color theme="1"/>
      <name val="Open Sans"/>
      <family val="2"/>
    </font>
    <font>
      <sz val="10"/>
      <color theme="1"/>
      <name val="Open Sans"/>
      <family val="2"/>
    </font>
    <font>
      <b/>
      <i/>
      <sz val="11"/>
      <name val="Open Sans"/>
      <family val="2"/>
    </font>
    <font>
      <b/>
      <sz val="12"/>
      <color theme="1"/>
      <name val="Open Sans"/>
      <family val="2"/>
    </font>
    <font>
      <u/>
      <sz val="11"/>
      <color theme="1"/>
      <name val="Open Sans"/>
      <family val="2"/>
    </font>
    <font>
      <u/>
      <sz val="10"/>
      <color theme="1"/>
      <name val="Open Sans"/>
      <family val="2"/>
    </font>
    <font>
      <b/>
      <sz val="10"/>
      <color theme="4"/>
      <name val="Open Sans"/>
      <family val="2"/>
    </font>
    <font>
      <b/>
      <i/>
      <sz val="11"/>
      <color theme="1"/>
      <name val="Open Sans"/>
      <family val="2"/>
    </font>
    <font>
      <b/>
      <i/>
      <sz val="10"/>
      <color theme="1"/>
      <name val="Open Sans"/>
      <family val="2"/>
    </font>
    <font>
      <b/>
      <sz val="14"/>
      <color theme="1"/>
      <name val="Open Sans"/>
      <family val="2"/>
    </font>
  </fonts>
  <fills count="12">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00D7B4"/>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6">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Alignment="1">
      <alignment vertical="center" wrapText="1"/>
    </xf>
    <xf numFmtId="0" fontId="2" fillId="0" borderId="0" xfId="0" applyFont="1"/>
    <xf numFmtId="0" fontId="5"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wrapText="1"/>
    </xf>
    <xf numFmtId="0" fontId="8" fillId="0" borderId="0" xfId="0" applyFont="1" applyAlignment="1">
      <alignment vertical="center" wrapText="1"/>
    </xf>
    <xf numFmtId="9" fontId="2" fillId="0" borderId="0" xfId="3" applyFont="1" applyAlignment="1">
      <alignment wrapText="1"/>
    </xf>
    <xf numFmtId="0" fontId="5" fillId="4" borderId="0" xfId="0" applyFont="1" applyFill="1" applyAlignment="1">
      <alignment vertical="center" wrapText="1"/>
    </xf>
    <xf numFmtId="0" fontId="9" fillId="0" borderId="0" xfId="0" applyFont="1" applyAlignment="1">
      <alignment horizontal="left"/>
    </xf>
    <xf numFmtId="0" fontId="9" fillId="0" borderId="0" xfId="0" applyFont="1" applyAlignment="1">
      <alignment horizontal="center"/>
    </xf>
    <xf numFmtId="0" fontId="11" fillId="0" borderId="0" xfId="0" applyFont="1"/>
    <xf numFmtId="0" fontId="12" fillId="0" borderId="0" xfId="0" applyFont="1" applyAlignment="1">
      <alignment horizontal="left" wrapText="1"/>
    </xf>
    <xf numFmtId="165" fontId="13" fillId="0" borderId="0" xfId="0" applyNumberFormat="1" applyFont="1"/>
    <xf numFmtId="165" fontId="13" fillId="0" borderId="0" xfId="2" applyNumberFormat="1" applyFont="1" applyFill="1" applyBorder="1"/>
    <xf numFmtId="43" fontId="13" fillId="0" borderId="0" xfId="1" applyFont="1" applyFill="1" applyBorder="1"/>
    <xf numFmtId="3" fontId="13" fillId="0" borderId="0" xfId="1" applyNumberFormat="1" applyFont="1" applyFill="1" applyBorder="1"/>
    <xf numFmtId="0" fontId="2" fillId="0" borderId="1" xfId="0" applyFont="1" applyBorder="1"/>
    <xf numFmtId="0" fontId="19" fillId="0" borderId="0" xfId="0" applyFont="1"/>
    <xf numFmtId="43" fontId="16" fillId="0" borderId="0" xfId="1" applyFont="1"/>
    <xf numFmtId="165" fontId="2" fillId="0" borderId="0" xfId="2" applyNumberFormat="1" applyFont="1"/>
    <xf numFmtId="43" fontId="2" fillId="0" borderId="0" xfId="1" applyFont="1"/>
    <xf numFmtId="0" fontId="20" fillId="0" borderId="0" xfId="0" applyFont="1"/>
    <xf numFmtId="44" fontId="16" fillId="0" borderId="0" xfId="2" applyFont="1"/>
    <xf numFmtId="0" fontId="15" fillId="0" borderId="1" xfId="0" applyFont="1" applyBorder="1" applyAlignment="1">
      <alignment horizontal="center" wrapText="1"/>
    </xf>
    <xf numFmtId="165" fontId="21" fillId="0" borderId="0" xfId="2" applyNumberFormat="1" applyFont="1" applyFill="1" applyBorder="1"/>
    <xf numFmtId="165" fontId="2" fillId="0" borderId="0" xfId="2" applyNumberFormat="1" applyFont="1" applyFill="1" applyBorder="1"/>
    <xf numFmtId="43" fontId="21" fillId="0" borderId="0" xfId="1" applyFont="1" applyFill="1" applyBorder="1"/>
    <xf numFmtId="10" fontId="21" fillId="0" borderId="0" xfId="1" applyNumberFormat="1" applyFont="1" applyFill="1" applyBorder="1"/>
    <xf numFmtId="164" fontId="21" fillId="0" borderId="0" xfId="1" applyNumberFormat="1" applyFont="1" applyFill="1" applyBorder="1"/>
    <xf numFmtId="165" fontId="21" fillId="0" borderId="0" xfId="0" applyNumberFormat="1" applyFont="1"/>
    <xf numFmtId="0" fontId="22" fillId="0" borderId="0" xfId="0" applyFont="1"/>
    <xf numFmtId="0" fontId="2" fillId="0" borderId="2" xfId="0" applyFont="1" applyBorder="1"/>
    <xf numFmtId="0" fontId="14" fillId="0" borderId="3" xfId="0" applyFont="1" applyBorder="1" applyAlignment="1">
      <alignment horizontal="center" wrapText="1"/>
    </xf>
    <xf numFmtId="0" fontId="15" fillId="0" borderId="3" xfId="0" applyFont="1" applyBorder="1" applyAlignment="1">
      <alignment horizontal="center" wrapText="1"/>
    </xf>
    <xf numFmtId="0" fontId="14" fillId="6" borderId="3" xfId="0" applyFont="1" applyFill="1" applyBorder="1" applyAlignment="1">
      <alignment horizontal="center" wrapText="1"/>
    </xf>
    <xf numFmtId="0" fontId="14" fillId="5" borderId="3" xfId="0" applyFont="1" applyFill="1" applyBorder="1" applyAlignment="1">
      <alignment horizontal="center" wrapText="1"/>
    </xf>
    <xf numFmtId="0" fontId="14" fillId="7" borderId="3" xfId="0" applyFont="1" applyFill="1" applyBorder="1" applyAlignment="1">
      <alignment horizontal="center" wrapText="1"/>
    </xf>
    <xf numFmtId="0" fontId="16" fillId="0" borderId="3" xfId="0" applyFont="1" applyBorder="1"/>
    <xf numFmtId="169" fontId="16" fillId="0" borderId="3" xfId="1" applyNumberFormat="1" applyFont="1" applyFill="1" applyBorder="1" applyAlignment="1">
      <alignment horizontal="center"/>
    </xf>
    <xf numFmtId="9" fontId="16" fillId="0" borderId="3" xfId="3" applyFont="1" applyFill="1" applyBorder="1" applyAlignment="1">
      <alignment horizontal="center"/>
    </xf>
    <xf numFmtId="164" fontId="13" fillId="0" borderId="3" xfId="1" applyNumberFormat="1" applyFont="1" applyFill="1" applyBorder="1" applyAlignment="1">
      <alignment horizontal="center"/>
    </xf>
    <xf numFmtId="9" fontId="2" fillId="0" borderId="3" xfId="3" applyFont="1" applyBorder="1" applyAlignment="1">
      <alignment horizontal="center"/>
    </xf>
    <xf numFmtId="0" fontId="14" fillId="0" borderId="3" xfId="0" applyFont="1" applyBorder="1"/>
    <xf numFmtId="9" fontId="14" fillId="0" borderId="3" xfId="3" applyFont="1" applyFill="1" applyBorder="1" applyAlignment="1">
      <alignment horizontal="center" wrapText="1"/>
    </xf>
    <xf numFmtId="0" fontId="15" fillId="0" borderId="3" xfId="0" applyFont="1" applyBorder="1"/>
    <xf numFmtId="170" fontId="2" fillId="0" borderId="3" xfId="0" applyNumberFormat="1" applyFont="1" applyBorder="1" applyAlignment="1">
      <alignment horizontal="right"/>
    </xf>
    <xf numFmtId="0" fontId="2" fillId="0" borderId="3" xfId="0" applyFont="1" applyBorder="1"/>
    <xf numFmtId="169" fontId="2" fillId="0" borderId="3" xfId="1" applyNumberFormat="1" applyFont="1" applyBorder="1" applyAlignment="1">
      <alignment horizontal="center"/>
    </xf>
    <xf numFmtId="164" fontId="2" fillId="0" borderId="3" xfId="3" applyNumberFormat="1" applyFont="1" applyBorder="1" applyAlignment="1">
      <alignment horizontal="center"/>
    </xf>
    <xf numFmtId="9" fontId="2" fillId="0" borderId="3" xfId="3" applyFont="1" applyFill="1" applyBorder="1" applyAlignment="1">
      <alignment horizontal="left"/>
    </xf>
    <xf numFmtId="3" fontId="16" fillId="0" borderId="3" xfId="3" applyNumberFormat="1" applyFont="1" applyFill="1" applyBorder="1" applyAlignment="1">
      <alignment horizontal="center"/>
    </xf>
    <xf numFmtId="166" fontId="2" fillId="0" borderId="3" xfId="3" applyNumberFormat="1" applyFont="1" applyBorder="1" applyAlignment="1">
      <alignment horizontal="right"/>
    </xf>
    <xf numFmtId="9" fontId="14" fillId="6" borderId="3" xfId="3" applyFont="1" applyFill="1" applyBorder="1" applyAlignment="1">
      <alignment horizontal="center" wrapText="1"/>
    </xf>
    <xf numFmtId="9" fontId="14" fillId="5" borderId="3" xfId="3" applyFont="1" applyFill="1" applyBorder="1" applyAlignment="1">
      <alignment horizontal="center" wrapText="1"/>
    </xf>
    <xf numFmtId="9" fontId="14" fillId="7" borderId="3" xfId="3" applyFont="1" applyFill="1" applyBorder="1" applyAlignment="1">
      <alignment horizontal="center" wrapText="1"/>
    </xf>
    <xf numFmtId="43" fontId="16" fillId="0" borderId="3" xfId="1" applyFont="1" applyBorder="1"/>
    <xf numFmtId="43" fontId="13" fillId="0" borderId="3" xfId="1" applyFont="1" applyBorder="1" applyAlignment="1">
      <alignment horizontal="center"/>
    </xf>
    <xf numFmtId="1" fontId="20" fillId="0" borderId="3" xfId="0" applyNumberFormat="1" applyFont="1" applyBorder="1" applyAlignment="1">
      <alignment horizontal="left"/>
    </xf>
    <xf numFmtId="1" fontId="12" fillId="0" borderId="3" xfId="0" applyNumberFormat="1" applyFont="1" applyBorder="1" applyAlignment="1">
      <alignment horizontal="left"/>
    </xf>
    <xf numFmtId="43" fontId="13" fillId="0" borderId="3" xfId="1" applyFont="1" applyBorder="1"/>
    <xf numFmtId="10" fontId="16" fillId="0" borderId="3" xfId="3" applyNumberFormat="1" applyFont="1" applyBorder="1"/>
    <xf numFmtId="10" fontId="13" fillId="0" borderId="3" xfId="3" applyNumberFormat="1" applyFont="1" applyBorder="1" applyAlignment="1">
      <alignment horizontal="center"/>
    </xf>
    <xf numFmtId="43" fontId="2" fillId="0" borderId="3" xfId="1" applyFont="1" applyBorder="1"/>
    <xf numFmtId="0" fontId="20" fillId="0" borderId="3" xfId="0" applyFont="1" applyBorder="1"/>
    <xf numFmtId="44" fontId="16" fillId="0" borderId="3" xfId="2" applyFont="1" applyBorder="1"/>
    <xf numFmtId="44" fontId="13" fillId="0" borderId="3" xfId="2" applyFont="1" applyBorder="1" applyAlignment="1">
      <alignment horizontal="center"/>
    </xf>
    <xf numFmtId="165" fontId="16" fillId="0" borderId="3" xfId="2" applyNumberFormat="1" applyFont="1" applyBorder="1"/>
    <xf numFmtId="165" fontId="13" fillId="0" borderId="3" xfId="2" applyNumberFormat="1" applyFont="1" applyBorder="1" applyAlignment="1">
      <alignment horizontal="center"/>
    </xf>
    <xf numFmtId="165" fontId="13" fillId="0" borderId="3" xfId="2" applyNumberFormat="1" applyFont="1" applyFill="1" applyBorder="1"/>
    <xf numFmtId="0" fontId="2" fillId="0" borderId="3" xfId="0" applyFont="1" applyBorder="1" applyAlignment="1">
      <alignment wrapText="1"/>
    </xf>
    <xf numFmtId="0" fontId="16" fillId="0" borderId="3" xfId="0" applyFont="1" applyBorder="1" applyAlignment="1">
      <alignment horizontal="right"/>
    </xf>
    <xf numFmtId="0" fontId="19" fillId="0" borderId="3" xfId="0" applyFont="1" applyBorder="1" applyAlignment="1">
      <alignment horizontal="center"/>
    </xf>
    <xf numFmtId="0" fontId="19" fillId="0" borderId="3" xfId="0" applyFont="1" applyBorder="1"/>
    <xf numFmtId="0" fontId="15" fillId="0" borderId="0" xfId="0" applyFont="1" applyAlignment="1">
      <alignment horizontal="center" wrapText="1"/>
    </xf>
    <xf numFmtId="165" fontId="13" fillId="0" borderId="3" xfId="2" applyNumberFormat="1" applyFont="1" applyBorder="1"/>
    <xf numFmtId="165" fontId="2" fillId="0" borderId="3" xfId="2" applyNumberFormat="1" applyFont="1" applyBorder="1"/>
    <xf numFmtId="43" fontId="13" fillId="0" borderId="3" xfId="1" applyFont="1" applyFill="1" applyBorder="1"/>
    <xf numFmtId="43" fontId="13" fillId="0" borderId="3" xfId="1" applyFont="1" applyFill="1" applyBorder="1" applyAlignment="1">
      <alignment horizontal="center"/>
    </xf>
    <xf numFmtId="164" fontId="13" fillId="0" borderId="3" xfId="1" applyNumberFormat="1" applyFont="1" applyFill="1" applyBorder="1"/>
    <xf numFmtId="165" fontId="21" fillId="0" borderId="3" xfId="2" applyNumberFormat="1" applyFont="1" applyFill="1" applyBorder="1"/>
    <xf numFmtId="165" fontId="2" fillId="0" borderId="3" xfId="2" applyNumberFormat="1" applyFont="1" applyFill="1" applyBorder="1"/>
    <xf numFmtId="165" fontId="13" fillId="0" borderId="3" xfId="0" applyNumberFormat="1" applyFont="1" applyBorder="1"/>
    <xf numFmtId="10" fontId="13" fillId="0" borderId="3" xfId="1" applyNumberFormat="1" applyFont="1" applyFill="1" applyBorder="1" applyAlignment="1">
      <alignment horizontal="center"/>
    </xf>
    <xf numFmtId="43" fontId="21" fillId="0" borderId="3" xfId="1" applyFont="1" applyFill="1" applyBorder="1"/>
    <xf numFmtId="10" fontId="21" fillId="0" borderId="3" xfId="1" applyNumberFormat="1" applyFont="1" applyFill="1" applyBorder="1"/>
    <xf numFmtId="164" fontId="21" fillId="0" borderId="3" xfId="1" applyNumberFormat="1" applyFont="1" applyFill="1" applyBorder="1"/>
    <xf numFmtId="165" fontId="21" fillId="0" borderId="3" xfId="2" applyNumberFormat="1" applyFont="1" applyBorder="1"/>
    <xf numFmtId="165" fontId="13" fillId="0" borderId="3" xfId="0" applyNumberFormat="1" applyFont="1" applyBorder="1" applyAlignment="1">
      <alignment horizontal="center"/>
    </xf>
    <xf numFmtId="10" fontId="2" fillId="0" borderId="3" xfId="3" applyNumberFormat="1" applyFont="1" applyFill="1" applyBorder="1" applyAlignment="1">
      <alignment horizontal="center"/>
    </xf>
    <xf numFmtId="165" fontId="2" fillId="0" borderId="3" xfId="2" applyNumberFormat="1" applyFont="1" applyFill="1" applyBorder="1" applyAlignment="1">
      <alignment horizontal="center" wrapText="1"/>
    </xf>
    <xf numFmtId="0" fontId="11" fillId="4" borderId="0" xfId="0" applyFont="1" applyFill="1"/>
    <xf numFmtId="0" fontId="2" fillId="4" borderId="0" xfId="0" applyFont="1" applyFill="1"/>
    <xf numFmtId="0" fontId="12" fillId="4" borderId="0" xfId="0" applyFont="1" applyFill="1" applyAlignment="1">
      <alignment horizontal="left" wrapText="1"/>
    </xf>
    <xf numFmtId="0" fontId="2" fillId="4" borderId="0" xfId="0" applyFont="1" applyFill="1" applyAlignment="1">
      <alignment wrapText="1"/>
    </xf>
    <xf numFmtId="0" fontId="22" fillId="4" borderId="0" xfId="0" applyFont="1" applyFill="1"/>
    <xf numFmtId="0" fontId="15" fillId="0" borderId="2" xfId="0" applyFont="1" applyBorder="1"/>
    <xf numFmtId="0" fontId="23" fillId="0" borderId="2" xfId="0" applyFont="1" applyBorder="1"/>
    <xf numFmtId="0" fontId="15" fillId="0" borderId="0" xfId="0" applyFont="1"/>
    <xf numFmtId="0" fontId="23" fillId="0" borderId="0" xfId="0" applyFont="1"/>
    <xf numFmtId="165" fontId="16" fillId="0" borderId="0" xfId="2" applyNumberFormat="1" applyFont="1" applyFill="1"/>
    <xf numFmtId="44" fontId="2" fillId="0" borderId="0" xfId="2" applyFont="1" applyFill="1"/>
    <xf numFmtId="0" fontId="13" fillId="0" borderId="0" xfId="0" applyFont="1"/>
    <xf numFmtId="166" fontId="16" fillId="0" borderId="0" xfId="3" applyNumberFormat="1" applyFont="1" applyFill="1"/>
    <xf numFmtId="44" fontId="16" fillId="0" borderId="0" xfId="2" applyFont="1" applyFill="1"/>
    <xf numFmtId="0" fontId="20" fillId="0" borderId="0" xfId="0" quotePrefix="1" applyFont="1"/>
    <xf numFmtId="44" fontId="16" fillId="0" borderId="0" xfId="2" applyFont="1" applyFill="1" applyBorder="1"/>
    <xf numFmtId="165" fontId="25" fillId="0" borderId="0" xfId="2" applyNumberFormat="1" applyFont="1" applyFill="1" applyBorder="1" applyAlignment="1">
      <alignment horizontal="center"/>
    </xf>
    <xf numFmtId="10" fontId="19" fillId="0" borderId="0" xfId="3" applyNumberFormat="1" applyFont="1" applyFill="1" applyBorder="1"/>
    <xf numFmtId="0" fontId="2" fillId="0" borderId="3" xfId="0" applyFont="1" applyBorder="1" applyAlignment="1">
      <alignment horizontal="center" wrapText="1"/>
    </xf>
    <xf numFmtId="0" fontId="2" fillId="0" borderId="3" xfId="0" applyFont="1" applyBorder="1" applyAlignment="1">
      <alignment horizontal="center"/>
    </xf>
    <xf numFmtId="2" fontId="20" fillId="0" borderId="0" xfId="0" applyNumberFormat="1" applyFont="1"/>
    <xf numFmtId="1" fontId="2" fillId="0" borderId="0" xfId="0" applyNumberFormat="1" applyFont="1"/>
    <xf numFmtId="167" fontId="2" fillId="0" borderId="0" xfId="0" applyNumberFormat="1" applyFont="1"/>
    <xf numFmtId="0" fontId="16" fillId="0" borderId="3" xfId="0" applyFont="1" applyBorder="1" applyAlignment="1">
      <alignment horizontal="center"/>
    </xf>
    <xf numFmtId="167" fontId="2" fillId="0" borderId="3" xfId="0" applyNumberFormat="1" applyFont="1" applyBorder="1" applyAlignment="1">
      <alignment horizontal="center"/>
    </xf>
    <xf numFmtId="37" fontId="2" fillId="0" borderId="3" xfId="1" applyNumberFormat="1" applyFont="1" applyFill="1" applyBorder="1" applyAlignment="1">
      <alignment horizontal="center" wrapText="1"/>
    </xf>
    <xf numFmtId="2" fontId="2" fillId="0" borderId="3" xfId="1" applyNumberFormat="1" applyFont="1" applyFill="1" applyBorder="1" applyAlignment="1">
      <alignment horizontal="center"/>
    </xf>
    <xf numFmtId="2" fontId="2" fillId="0" borderId="3" xfId="0" applyNumberFormat="1" applyFont="1" applyBorder="1" applyAlignment="1">
      <alignment horizontal="center"/>
    </xf>
    <xf numFmtId="9" fontId="2" fillId="0" borderId="3" xfId="3"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0" fontId="23" fillId="4" borderId="0" xfId="0" applyFont="1" applyFill="1"/>
    <xf numFmtId="0" fontId="2" fillId="5" borderId="3" xfId="0" applyFont="1" applyFill="1" applyBorder="1"/>
    <xf numFmtId="0" fontId="2" fillId="6" borderId="3" xfId="0" applyFont="1" applyFill="1" applyBorder="1"/>
    <xf numFmtId="0" fontId="2" fillId="8" borderId="3" xfId="0" applyFont="1" applyFill="1" applyBorder="1"/>
    <xf numFmtId="0" fontId="2" fillId="2" borderId="0" xfId="0" applyFont="1" applyFill="1"/>
    <xf numFmtId="0" fontId="2" fillId="0" borderId="0" xfId="0" applyFont="1" applyAlignment="1">
      <alignment vertical="center"/>
    </xf>
    <xf numFmtId="0" fontId="2" fillId="0" borderId="0" xfId="0" quotePrefix="1" applyFont="1"/>
    <xf numFmtId="0" fontId="2" fillId="0" borderId="1" xfId="0" applyFont="1" applyBorder="1" applyAlignment="1">
      <alignment horizontal="center" wrapText="1"/>
    </xf>
    <xf numFmtId="44" fontId="2" fillId="0" borderId="0" xfId="0" applyNumberFormat="1" applyFont="1"/>
    <xf numFmtId="9" fontId="13" fillId="0" borderId="0" xfId="3" applyFont="1"/>
    <xf numFmtId="9" fontId="2" fillId="0" borderId="0" xfId="0" applyNumberFormat="1" applyFont="1"/>
    <xf numFmtId="165" fontId="16" fillId="0" borderId="1" xfId="2" applyNumberFormat="1" applyFont="1" applyFill="1" applyBorder="1"/>
    <xf numFmtId="0" fontId="2" fillId="0" borderId="0" xfId="0" applyFont="1" applyAlignment="1">
      <alignment horizontal="right" wrapText="1"/>
    </xf>
    <xf numFmtId="44" fontId="2" fillId="0" borderId="0" xfId="2" applyFont="1"/>
    <xf numFmtId="0" fontId="2" fillId="0" borderId="0" xfId="0" applyFont="1" applyAlignment="1">
      <alignment horizontal="right"/>
    </xf>
    <xf numFmtId="0" fontId="2" fillId="0" borderId="2" xfId="0" applyFont="1" applyBorder="1" applyAlignment="1">
      <alignment wrapText="1"/>
    </xf>
    <xf numFmtId="44" fontId="16" fillId="0" borderId="1" xfId="2" applyFont="1" applyFill="1" applyBorder="1"/>
    <xf numFmtId="44" fontId="2" fillId="0" borderId="1" xfId="2" applyFont="1" applyBorder="1"/>
    <xf numFmtId="44" fontId="15" fillId="0" borderId="0" xfId="2" applyFont="1"/>
    <xf numFmtId="9" fontId="16" fillId="0" borderId="0" xfId="3" applyFont="1"/>
    <xf numFmtId="168" fontId="16" fillId="0" borderId="0" xfId="2" applyNumberFormat="1" applyFont="1" applyFill="1"/>
    <xf numFmtId="168" fontId="2" fillId="0" borderId="0" xfId="0" applyNumberFormat="1" applyFont="1"/>
    <xf numFmtId="0" fontId="15" fillId="0" borderId="0" xfId="0" applyFont="1" applyAlignment="1">
      <alignment horizontal="left"/>
    </xf>
    <xf numFmtId="0" fontId="26" fillId="0" borderId="0" xfId="0" applyFont="1"/>
    <xf numFmtId="43" fontId="16" fillId="0" borderId="0" xfId="1" applyFont="1" applyFill="1"/>
    <xf numFmtId="43" fontId="2" fillId="0" borderId="0" xfId="0" applyNumberFormat="1" applyFont="1"/>
    <xf numFmtId="43" fontId="13" fillId="0" borderId="0" xfId="1" applyFont="1" applyFill="1"/>
    <xf numFmtId="0" fontId="2" fillId="6" borderId="1" xfId="0" applyFont="1" applyFill="1" applyBorder="1" applyAlignment="1">
      <alignment horizontal="center" wrapText="1"/>
    </xf>
    <xf numFmtId="0" fontId="2" fillId="5" borderId="1" xfId="0" applyFont="1" applyFill="1" applyBorder="1" applyAlignment="1">
      <alignment horizontal="center" wrapText="1"/>
    </xf>
    <xf numFmtId="0" fontId="2" fillId="7" borderId="1" xfId="0" applyFont="1" applyFill="1" applyBorder="1" applyAlignment="1">
      <alignment horizontal="center" wrapText="1"/>
    </xf>
    <xf numFmtId="0" fontId="2" fillId="9" borderId="1" xfId="0" applyFont="1" applyFill="1" applyBorder="1" applyAlignment="1">
      <alignment horizontal="center" wrapText="1"/>
    </xf>
    <xf numFmtId="0" fontId="12" fillId="0" borderId="0" xfId="0" applyFont="1"/>
    <xf numFmtId="164" fontId="2" fillId="0" borderId="0" xfId="0" applyNumberFormat="1" applyFont="1"/>
    <xf numFmtId="165" fontId="2" fillId="0" borderId="0" xfId="2" applyNumberFormat="1" applyFont="1" applyFill="1"/>
    <xf numFmtId="0" fontId="12" fillId="0" borderId="2" xfId="0" applyFont="1" applyBorder="1"/>
    <xf numFmtId="43" fontId="2" fillId="0" borderId="2" xfId="1" applyFont="1" applyBorder="1"/>
    <xf numFmtId="164" fontId="2" fillId="0" borderId="2" xfId="0" applyNumberFormat="1" applyFont="1" applyBorder="1"/>
    <xf numFmtId="165" fontId="2" fillId="0" borderId="2" xfId="2" applyNumberFormat="1" applyFont="1" applyBorder="1"/>
    <xf numFmtId="165" fontId="2" fillId="0" borderId="2" xfId="2" applyNumberFormat="1" applyFont="1" applyFill="1" applyBorder="1"/>
    <xf numFmtId="0" fontId="12" fillId="0" borderId="0" xfId="0" applyFont="1" applyAlignment="1">
      <alignment wrapText="1"/>
    </xf>
    <xf numFmtId="165" fontId="15" fillId="0" borderId="1" xfId="2" applyNumberFormat="1" applyFont="1" applyBorder="1" applyAlignment="1">
      <alignment horizontal="center" wrapText="1"/>
    </xf>
    <xf numFmtId="0" fontId="2" fillId="0" borderId="0" xfId="0" applyFont="1" applyAlignment="1">
      <alignment horizontal="center" wrapText="1"/>
    </xf>
    <xf numFmtId="165" fontId="2" fillId="0" borderId="0" xfId="0" applyNumberFormat="1" applyFont="1"/>
    <xf numFmtId="164" fontId="26" fillId="0" borderId="0" xfId="0" applyNumberFormat="1" applyFont="1"/>
    <xf numFmtId="164" fontId="26" fillId="0" borderId="0" xfId="1" applyNumberFormat="1" applyFont="1"/>
    <xf numFmtId="165" fontId="26" fillId="0" borderId="0" xfId="2" applyNumberFormat="1" applyFont="1"/>
    <xf numFmtId="165" fontId="26" fillId="0" borderId="0" xfId="2" applyNumberFormat="1" applyFont="1" applyFill="1"/>
    <xf numFmtId="0" fontId="19" fillId="4" borderId="0" xfId="0" applyFont="1" applyFill="1"/>
    <xf numFmtId="43" fontId="2" fillId="4" borderId="0" xfId="1" applyFont="1" applyFill="1"/>
    <xf numFmtId="43" fontId="15" fillId="0" borderId="0" xfId="1" applyFont="1" applyBorder="1" applyAlignment="1">
      <alignment horizontal="center" wrapText="1"/>
    </xf>
    <xf numFmtId="164" fontId="15" fillId="0" borderId="0" xfId="0" applyNumberFormat="1" applyFont="1" applyAlignment="1">
      <alignment horizontal="center" wrapText="1"/>
    </xf>
    <xf numFmtId="165" fontId="15" fillId="0" borderId="0" xfId="2" applyNumberFormat="1" applyFont="1" applyBorder="1" applyAlignment="1">
      <alignment horizontal="center" wrapText="1"/>
    </xf>
    <xf numFmtId="0" fontId="15" fillId="0" borderId="5" xfId="0" applyFont="1" applyBorder="1" applyAlignment="1">
      <alignment horizontal="center" wrapText="1"/>
    </xf>
    <xf numFmtId="165" fontId="15" fillId="0" borderId="0" xfId="2" applyNumberFormat="1" applyFont="1" applyFill="1" applyBorder="1" applyAlignment="1">
      <alignment horizontal="center" wrapText="1"/>
    </xf>
    <xf numFmtId="0" fontId="12" fillId="0" borderId="3" xfId="0" applyFont="1" applyBorder="1"/>
    <xf numFmtId="43" fontId="2" fillId="0" borderId="3" xfId="0" applyNumberFormat="1" applyFont="1" applyBorder="1"/>
    <xf numFmtId="165" fontId="2" fillId="0" borderId="3" xfId="0" applyNumberFormat="1" applyFont="1" applyBorder="1"/>
    <xf numFmtId="0" fontId="12" fillId="0" borderId="0" xfId="0" applyFont="1" applyAlignment="1">
      <alignment horizontal="center"/>
    </xf>
    <xf numFmtId="0" fontId="12" fillId="0" borderId="2" xfId="0" applyFont="1" applyBorder="1" applyAlignment="1">
      <alignment horizontal="center"/>
    </xf>
    <xf numFmtId="0" fontId="15" fillId="0" borderId="0" xfId="0" applyFont="1" applyAlignment="1">
      <alignment wrapText="1"/>
    </xf>
    <xf numFmtId="0" fontId="27" fillId="0" borderId="0" xfId="0" applyFont="1" applyAlignment="1">
      <alignment horizontal="center" wrapText="1"/>
    </xf>
    <xf numFmtId="0" fontId="15" fillId="0" borderId="1" xfId="0" applyFont="1" applyBorder="1" applyAlignment="1">
      <alignment wrapText="1"/>
    </xf>
    <xf numFmtId="165" fontId="2" fillId="3" borderId="3" xfId="0" applyNumberFormat="1" applyFont="1" applyFill="1" applyBorder="1"/>
    <xf numFmtId="10" fontId="12" fillId="0" borderId="3" xfId="3" applyNumberFormat="1" applyFont="1" applyBorder="1" applyAlignment="1">
      <alignment horizontal="center"/>
    </xf>
    <xf numFmtId="164" fontId="2" fillId="0" borderId="0" xfId="1" applyNumberFormat="1" applyFont="1"/>
    <xf numFmtId="164" fontId="2" fillId="0" borderId="1" xfId="1" applyNumberFormat="1" applyFont="1" applyBorder="1"/>
    <xf numFmtId="165" fontId="2" fillId="0" borderId="1" xfId="2" applyNumberFormat="1" applyFont="1" applyBorder="1"/>
    <xf numFmtId="0" fontId="28" fillId="4" borderId="0" xfId="0" applyFont="1" applyFill="1"/>
    <xf numFmtId="43" fontId="2" fillId="0" borderId="0" xfId="1" applyFont="1" applyFill="1"/>
    <xf numFmtId="0" fontId="28" fillId="4" borderId="2" xfId="0" applyFont="1" applyFill="1" applyBorder="1"/>
    <xf numFmtId="0" fontId="2" fillId="4" borderId="2" xfId="0" applyFont="1" applyFill="1" applyBorder="1"/>
    <xf numFmtId="43" fontId="2" fillId="0" borderId="1" xfId="0" applyNumberFormat="1" applyFont="1" applyBorder="1"/>
    <xf numFmtId="165" fontId="0" fillId="0" borderId="3" xfId="0" applyNumberFormat="1" applyBorder="1"/>
    <xf numFmtId="165" fontId="2" fillId="0" borderId="3" xfId="2" applyNumberFormat="1" applyFont="1" applyFill="1" applyBorder="1" applyAlignment="1">
      <alignment horizontal="center" wrapText="1"/>
    </xf>
    <xf numFmtId="0" fontId="20" fillId="0" borderId="3" xfId="0" applyFont="1" applyBorder="1" applyAlignment="1">
      <alignment wrapText="1"/>
    </xf>
    <xf numFmtId="0" fontId="2" fillId="0" borderId="3" xfId="0" applyFont="1" applyBorder="1" applyAlignment="1">
      <alignment wrapText="1"/>
    </xf>
    <xf numFmtId="1" fontId="20" fillId="0" borderId="3" xfId="0" applyNumberFormat="1" applyFont="1" applyBorder="1" applyAlignment="1">
      <alignment horizontal="left" wrapText="1"/>
    </xf>
    <xf numFmtId="0" fontId="2" fillId="0" borderId="3" xfId="0" applyFont="1" applyBorder="1" applyAlignment="1">
      <alignment horizontal="center" wrapText="1"/>
    </xf>
    <xf numFmtId="0" fontId="2" fillId="0" borderId="3" xfId="0" applyFont="1" applyBorder="1" applyAlignment="1">
      <alignment horizontal="center"/>
    </xf>
    <xf numFmtId="0" fontId="20" fillId="0" borderId="0" xfId="0" applyFont="1" applyAlignment="1">
      <alignment wrapText="1"/>
    </xf>
    <xf numFmtId="0" fontId="2" fillId="0" borderId="0" xfId="0" applyFont="1" applyAlignment="1">
      <alignment wrapText="1"/>
    </xf>
    <xf numFmtId="0" fontId="15" fillId="7" borderId="1" xfId="0" applyFont="1" applyFill="1" applyBorder="1" applyAlignment="1">
      <alignment horizontal="center"/>
    </xf>
    <xf numFmtId="0" fontId="15" fillId="5" borderId="1" xfId="0" applyFont="1" applyFill="1" applyBorder="1" applyAlignment="1">
      <alignment horizontal="center"/>
    </xf>
    <xf numFmtId="0" fontId="19" fillId="11" borderId="4" xfId="0" applyFont="1" applyFill="1" applyBorder="1" applyAlignment="1">
      <alignment horizontal="center"/>
    </xf>
    <xf numFmtId="0" fontId="19" fillId="10" borderId="4"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colors>
    <mruColors>
      <color rgb="FF00D7B4"/>
      <color rgb="FFDBC5FF"/>
      <color rgb="FF76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180976</xdr:colOff>
      <xdr:row>16</xdr:row>
      <xdr:rowOff>133350</xdr:rowOff>
    </xdr:from>
    <xdr:to>
      <xdr:col>0</xdr:col>
      <xdr:colOff>9039226</xdr:colOff>
      <xdr:row>16</xdr:row>
      <xdr:rowOff>2686050</xdr:rowOff>
    </xdr:to>
    <xdr:pic>
      <xdr:nvPicPr>
        <xdr:cNvPr id="2" name="Picture 1">
          <a:extLst>
            <a:ext uri="{FF2B5EF4-FFF2-40B4-BE49-F238E27FC236}">
              <a16:creationId xmlns:a16="http://schemas.microsoft.com/office/drawing/2014/main" id="{87EF0B36-12C8-11B7-716F-6F2DC84B47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6" y="2266950"/>
          <a:ext cx="885825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200024</xdr:colOff>
      <xdr:row>22</xdr:row>
      <xdr:rowOff>95250</xdr:rowOff>
    </xdr:from>
    <xdr:to>
      <xdr:col>0</xdr:col>
      <xdr:colOff>11630025</xdr:colOff>
      <xdr:row>22</xdr:row>
      <xdr:rowOff>2209800</xdr:rowOff>
    </xdr:to>
    <xdr:pic>
      <xdr:nvPicPr>
        <xdr:cNvPr id="3" name="Picture 2">
          <a:extLst>
            <a:ext uri="{FF2B5EF4-FFF2-40B4-BE49-F238E27FC236}">
              <a16:creationId xmlns:a16="http://schemas.microsoft.com/office/drawing/2014/main" id="{A4C250C0-48B7-048C-A3FE-821F6B13AA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4" y="7334250"/>
          <a:ext cx="11430001"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85726</xdr:colOff>
      <xdr:row>57</xdr:row>
      <xdr:rowOff>66674</xdr:rowOff>
    </xdr:from>
    <xdr:to>
      <xdr:col>0</xdr:col>
      <xdr:colOff>5419725</xdr:colOff>
      <xdr:row>57</xdr:row>
      <xdr:rowOff>1171575</xdr:rowOff>
    </xdr:to>
    <xdr:pic>
      <xdr:nvPicPr>
        <xdr:cNvPr id="8" name="Picture 15">
          <a:extLst>
            <a:ext uri="{FF2B5EF4-FFF2-40B4-BE49-F238E27FC236}">
              <a16:creationId xmlns:a16="http://schemas.microsoft.com/office/drawing/2014/main" id="{A086EEF7-9FF5-2772-802B-54E733C2D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6" y="21983699"/>
          <a:ext cx="5333999" cy="1104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63</xdr:row>
      <xdr:rowOff>47625</xdr:rowOff>
    </xdr:from>
    <xdr:to>
      <xdr:col>0</xdr:col>
      <xdr:colOff>10111823</xdr:colOff>
      <xdr:row>63</xdr:row>
      <xdr:rowOff>5172075</xdr:rowOff>
    </xdr:to>
    <xdr:pic>
      <xdr:nvPicPr>
        <xdr:cNvPr id="9" name="Picture 17">
          <a:extLst>
            <a:ext uri="{FF2B5EF4-FFF2-40B4-BE49-F238E27FC236}">
              <a16:creationId xmlns:a16="http://schemas.microsoft.com/office/drawing/2014/main" id="{75E5DE4E-7381-68E3-68CB-56B5EC8BB4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4" y="24203025"/>
          <a:ext cx="10026099"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33</xdr:row>
      <xdr:rowOff>95250</xdr:rowOff>
    </xdr:from>
    <xdr:to>
      <xdr:col>0</xdr:col>
      <xdr:colOff>5476875</xdr:colOff>
      <xdr:row>33</xdr:row>
      <xdr:rowOff>1097666</xdr:rowOff>
    </xdr:to>
    <xdr:pic>
      <xdr:nvPicPr>
        <xdr:cNvPr id="11" name="Picture 10">
          <a:extLst>
            <a:ext uri="{FF2B5EF4-FFF2-40B4-BE49-F238E27FC236}">
              <a16:creationId xmlns:a16="http://schemas.microsoft.com/office/drawing/2014/main" id="{C12EDC46-0703-ADC2-6C71-BD3FD18B701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2077700"/>
          <a:ext cx="5305425" cy="1002416"/>
        </a:xfrm>
        <a:prstGeom prst="rect">
          <a:avLst/>
        </a:prstGeom>
        <a:noFill/>
        <a:ln>
          <a:noFill/>
        </a:ln>
      </xdr:spPr>
    </xdr:pic>
    <xdr:clientData/>
  </xdr:twoCellAnchor>
  <xdr:twoCellAnchor editAs="oneCell">
    <xdr:from>
      <xdr:col>0</xdr:col>
      <xdr:colOff>104774</xdr:colOff>
      <xdr:row>40</xdr:row>
      <xdr:rowOff>104775</xdr:rowOff>
    </xdr:from>
    <xdr:to>
      <xdr:col>0</xdr:col>
      <xdr:colOff>9691843</xdr:colOff>
      <xdr:row>40</xdr:row>
      <xdr:rowOff>3286125</xdr:rowOff>
    </xdr:to>
    <xdr:pic>
      <xdr:nvPicPr>
        <xdr:cNvPr id="12" name="Picture 11">
          <a:extLst>
            <a:ext uri="{FF2B5EF4-FFF2-40B4-BE49-F238E27FC236}">
              <a16:creationId xmlns:a16="http://schemas.microsoft.com/office/drawing/2014/main" id="{EE52A11A-7C37-95EB-BE3A-20CEE3EF635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4774" y="14478000"/>
          <a:ext cx="9587069" cy="3181350"/>
        </a:xfrm>
        <a:prstGeom prst="rect">
          <a:avLst/>
        </a:prstGeom>
        <a:noFill/>
        <a:ln>
          <a:noFill/>
        </a:ln>
      </xdr:spPr>
    </xdr:pic>
    <xdr:clientData/>
  </xdr:twoCellAnchor>
  <xdr:twoCellAnchor editAs="oneCell">
    <xdr:from>
      <xdr:col>0</xdr:col>
      <xdr:colOff>0</xdr:colOff>
      <xdr:row>0</xdr:row>
      <xdr:rowOff>0</xdr:rowOff>
    </xdr:from>
    <xdr:to>
      <xdr:col>0</xdr:col>
      <xdr:colOff>6819900</xdr:colOff>
      <xdr:row>4</xdr:row>
      <xdr:rowOff>39255</xdr:rowOff>
    </xdr:to>
    <xdr:pic>
      <xdr:nvPicPr>
        <xdr:cNvPr id="4" name="Picture 3">
          <a:extLst>
            <a:ext uri="{FF2B5EF4-FFF2-40B4-BE49-F238E27FC236}">
              <a16:creationId xmlns:a16="http://schemas.microsoft.com/office/drawing/2014/main" id="{7113FC4C-DC21-DBC8-D2C6-5D5FB225F335}"/>
            </a:ext>
          </a:extLst>
        </xdr:cNvPr>
        <xdr:cNvPicPr>
          <a:picLocks noChangeAspect="1"/>
        </xdr:cNvPicPr>
      </xdr:nvPicPr>
      <xdr:blipFill>
        <a:blip xmlns:r="http://schemas.openxmlformats.org/officeDocument/2006/relationships" r:embed="rId7"/>
        <a:stretch>
          <a:fillRect/>
        </a:stretch>
      </xdr:blipFill>
      <xdr:spPr>
        <a:xfrm>
          <a:off x="0" y="0"/>
          <a:ext cx="6819900" cy="902855"/>
        </a:xfrm>
        <a:prstGeom prst="rect">
          <a:avLst/>
        </a:prstGeom>
      </xdr:spPr>
    </xdr:pic>
    <xdr:clientData/>
  </xdr:twoCellAnchor>
  <xdr:twoCellAnchor editAs="oneCell">
    <xdr:from>
      <xdr:col>0</xdr:col>
      <xdr:colOff>0</xdr:colOff>
      <xdr:row>51</xdr:row>
      <xdr:rowOff>5604</xdr:rowOff>
    </xdr:from>
    <xdr:to>
      <xdr:col>0</xdr:col>
      <xdr:colOff>7098926</xdr:colOff>
      <xdr:row>51</xdr:row>
      <xdr:rowOff>1187321</xdr:rowOff>
    </xdr:to>
    <xdr:pic>
      <xdr:nvPicPr>
        <xdr:cNvPr id="5" name="Picture 4">
          <a:extLst>
            <a:ext uri="{FF2B5EF4-FFF2-40B4-BE49-F238E27FC236}">
              <a16:creationId xmlns:a16="http://schemas.microsoft.com/office/drawing/2014/main" id="{7B4EAF0C-63E5-4F02-9F8E-3EC90709C3B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6182545"/>
          <a:ext cx="7098926" cy="1181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10272346</xdr:colOff>
      <xdr:row>30</xdr:row>
      <xdr:rowOff>1863438</xdr:rowOff>
    </xdr:to>
    <xdr:pic>
      <xdr:nvPicPr>
        <xdr:cNvPr id="13" name="Picture 12">
          <a:extLst>
            <a:ext uri="{FF2B5EF4-FFF2-40B4-BE49-F238E27FC236}">
              <a16:creationId xmlns:a16="http://schemas.microsoft.com/office/drawing/2014/main" id="{A7DDBB5C-43FA-0B95-5878-B36A63E79152}"/>
            </a:ext>
          </a:extLst>
        </xdr:cNvPr>
        <xdr:cNvPicPr>
          <a:picLocks noChangeAspect="1"/>
        </xdr:cNvPicPr>
      </xdr:nvPicPr>
      <xdr:blipFill>
        <a:blip xmlns:r="http://schemas.openxmlformats.org/officeDocument/2006/relationships" r:embed="rId9"/>
        <a:stretch>
          <a:fillRect/>
        </a:stretch>
      </xdr:blipFill>
      <xdr:spPr>
        <a:xfrm>
          <a:off x="0" y="13723327"/>
          <a:ext cx="10272346" cy="1863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114299</xdr:colOff>
      <xdr:row>1</xdr:row>
      <xdr:rowOff>12700</xdr:rowOff>
    </xdr:from>
    <xdr:to>
      <xdr:col>4</xdr:col>
      <xdr:colOff>977900</xdr:colOff>
      <xdr:row>5</xdr:row>
      <xdr:rowOff>83224</xdr:rowOff>
    </xdr:to>
    <xdr:pic>
      <xdr:nvPicPr>
        <xdr:cNvPr id="2" name="Picture 1">
          <a:extLst>
            <a:ext uri="{FF2B5EF4-FFF2-40B4-BE49-F238E27FC236}">
              <a16:creationId xmlns:a16="http://schemas.microsoft.com/office/drawing/2014/main" id="{1D3F1167-8317-FA7D-F347-84B8318E8B28}"/>
            </a:ext>
          </a:extLst>
        </xdr:cNvPr>
        <xdr:cNvPicPr>
          <a:picLocks noChangeAspect="1"/>
        </xdr:cNvPicPr>
      </xdr:nvPicPr>
      <xdr:blipFill>
        <a:blip xmlns:r="http://schemas.openxmlformats.org/officeDocument/2006/relationships" r:embed="rId1"/>
        <a:stretch>
          <a:fillRect/>
        </a:stretch>
      </xdr:blipFill>
      <xdr:spPr>
        <a:xfrm>
          <a:off x="114299" y="203200"/>
          <a:ext cx="7048501" cy="933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226944</xdr:colOff>
      <xdr:row>4</xdr:row>
      <xdr:rowOff>90402</xdr:rowOff>
    </xdr:to>
    <xdr:pic>
      <xdr:nvPicPr>
        <xdr:cNvPr id="2" name="Picture 1">
          <a:extLst>
            <a:ext uri="{FF2B5EF4-FFF2-40B4-BE49-F238E27FC236}">
              <a16:creationId xmlns:a16="http://schemas.microsoft.com/office/drawing/2014/main" id="{042D3DAF-4D39-9D45-A0DE-BDD2A52470FF}"/>
            </a:ext>
          </a:extLst>
        </xdr:cNvPr>
        <xdr:cNvPicPr>
          <a:picLocks noChangeAspect="1"/>
        </xdr:cNvPicPr>
      </xdr:nvPicPr>
      <xdr:blipFill>
        <a:blip xmlns:r="http://schemas.openxmlformats.org/officeDocument/2006/relationships" r:embed="rId1"/>
        <a:stretch>
          <a:fillRect/>
        </a:stretch>
      </xdr:blipFill>
      <xdr:spPr>
        <a:xfrm>
          <a:off x="0" y="0"/>
          <a:ext cx="7046844" cy="9540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6</xdr:col>
      <xdr:colOff>468244</xdr:colOff>
      <xdr:row>4</xdr:row>
      <xdr:rowOff>90402</xdr:rowOff>
    </xdr:to>
    <xdr:pic>
      <xdr:nvPicPr>
        <xdr:cNvPr id="2" name="Picture 1">
          <a:extLst>
            <a:ext uri="{FF2B5EF4-FFF2-40B4-BE49-F238E27FC236}">
              <a16:creationId xmlns:a16="http://schemas.microsoft.com/office/drawing/2014/main" id="{7E294BF2-9D49-8A4C-82B3-DDAB7064E106}"/>
            </a:ext>
          </a:extLst>
        </xdr:cNvPr>
        <xdr:cNvPicPr>
          <a:picLocks noChangeAspect="1"/>
        </xdr:cNvPicPr>
      </xdr:nvPicPr>
      <xdr:blipFill>
        <a:blip xmlns:r="http://schemas.openxmlformats.org/officeDocument/2006/relationships" r:embed="rId1"/>
        <a:stretch>
          <a:fillRect/>
        </a:stretch>
      </xdr:blipFill>
      <xdr:spPr>
        <a:xfrm>
          <a:off x="12700" y="0"/>
          <a:ext cx="7046844" cy="9540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9</xdr:col>
      <xdr:colOff>582544</xdr:colOff>
      <xdr:row>4</xdr:row>
      <xdr:rowOff>128502</xdr:rowOff>
    </xdr:to>
    <xdr:pic>
      <xdr:nvPicPr>
        <xdr:cNvPr id="2" name="Picture 1">
          <a:extLst>
            <a:ext uri="{FF2B5EF4-FFF2-40B4-BE49-F238E27FC236}">
              <a16:creationId xmlns:a16="http://schemas.microsoft.com/office/drawing/2014/main" id="{27AF1868-0114-FC4D-ADCA-591968C47F2D}"/>
            </a:ext>
          </a:extLst>
        </xdr:cNvPr>
        <xdr:cNvPicPr>
          <a:picLocks noChangeAspect="1"/>
        </xdr:cNvPicPr>
      </xdr:nvPicPr>
      <xdr:blipFill>
        <a:blip xmlns:r="http://schemas.openxmlformats.org/officeDocument/2006/relationships" r:embed="rId1"/>
        <a:stretch>
          <a:fillRect/>
        </a:stretch>
      </xdr:blipFill>
      <xdr:spPr>
        <a:xfrm>
          <a:off x="38100" y="38100"/>
          <a:ext cx="7046844" cy="9540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8</xdr:col>
      <xdr:colOff>803524</xdr:colOff>
      <xdr:row>4</xdr:row>
      <xdr:rowOff>179302</xdr:rowOff>
    </xdr:to>
    <xdr:pic>
      <xdr:nvPicPr>
        <xdr:cNvPr id="2" name="Picture 1">
          <a:extLst>
            <a:ext uri="{FF2B5EF4-FFF2-40B4-BE49-F238E27FC236}">
              <a16:creationId xmlns:a16="http://schemas.microsoft.com/office/drawing/2014/main" id="{87561463-17EA-B24C-A3A1-04C4858E23A3}"/>
            </a:ext>
          </a:extLst>
        </xdr:cNvPr>
        <xdr:cNvPicPr>
          <a:picLocks noChangeAspect="1"/>
        </xdr:cNvPicPr>
      </xdr:nvPicPr>
      <xdr:blipFill>
        <a:blip xmlns:r="http://schemas.openxmlformats.org/officeDocument/2006/relationships" r:embed="rId1"/>
        <a:stretch>
          <a:fillRect/>
        </a:stretch>
      </xdr:blipFill>
      <xdr:spPr>
        <a:xfrm>
          <a:off x="0" y="88900"/>
          <a:ext cx="7046844" cy="9540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12700</xdr:colOff>
      <xdr:row>0</xdr:row>
      <xdr:rowOff>38100</xdr:rowOff>
    </xdr:from>
    <xdr:to>
      <xdr:col>8</xdr:col>
      <xdr:colOff>353944</xdr:colOff>
      <xdr:row>4</xdr:row>
      <xdr:rowOff>128502</xdr:rowOff>
    </xdr:to>
    <xdr:pic>
      <xdr:nvPicPr>
        <xdr:cNvPr id="2" name="Picture 1">
          <a:extLst>
            <a:ext uri="{FF2B5EF4-FFF2-40B4-BE49-F238E27FC236}">
              <a16:creationId xmlns:a16="http://schemas.microsoft.com/office/drawing/2014/main" id="{4214F982-A034-D34E-84C4-BA6907CE6ECC}"/>
            </a:ext>
          </a:extLst>
        </xdr:cNvPr>
        <xdr:cNvPicPr>
          <a:picLocks noChangeAspect="1"/>
        </xdr:cNvPicPr>
      </xdr:nvPicPr>
      <xdr:blipFill>
        <a:blip xmlns:r="http://schemas.openxmlformats.org/officeDocument/2006/relationships" r:embed="rId1"/>
        <a:stretch>
          <a:fillRect/>
        </a:stretch>
      </xdr:blipFill>
      <xdr:spPr>
        <a:xfrm>
          <a:off x="12700" y="38100"/>
          <a:ext cx="7046844" cy="9540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8</xdr:col>
      <xdr:colOff>252344</xdr:colOff>
      <xdr:row>4</xdr:row>
      <xdr:rowOff>128502</xdr:rowOff>
    </xdr:to>
    <xdr:pic>
      <xdr:nvPicPr>
        <xdr:cNvPr id="2" name="Picture 1">
          <a:extLst>
            <a:ext uri="{FF2B5EF4-FFF2-40B4-BE49-F238E27FC236}">
              <a16:creationId xmlns:a16="http://schemas.microsoft.com/office/drawing/2014/main" id="{B4D55CD1-2EE1-944B-9353-0401D4F36AFE}"/>
            </a:ext>
          </a:extLst>
        </xdr:cNvPr>
        <xdr:cNvPicPr>
          <a:picLocks noChangeAspect="1"/>
        </xdr:cNvPicPr>
      </xdr:nvPicPr>
      <xdr:blipFill>
        <a:blip xmlns:r="http://schemas.openxmlformats.org/officeDocument/2006/relationships" r:embed="rId1"/>
        <a:stretch>
          <a:fillRect/>
        </a:stretch>
      </xdr:blipFill>
      <xdr:spPr>
        <a:xfrm>
          <a:off x="38100" y="38100"/>
          <a:ext cx="7046844" cy="9540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eorge Oamek" id="{72CFC3A8-0E96-4CE0-B84C-4E511610A1DF}" userId="f27b3ace6fc2606b"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2" dT="2023-11-30T20:54:31.12" personId="{72CFC3A8-0E96-4CE0-B84C-4E511610A1DF}" id="{82511309-0BD3-439F-BED6-7396F5070B73}">
    <text>Shown for illustration but not used in calculating cost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174A-2519-4BB2-9DE8-FD74BA896F0F}">
  <dimension ref="A6:A68"/>
  <sheetViews>
    <sheetView tabSelected="1" zoomScale="130" zoomScaleNormal="130" workbookViewId="0">
      <selection activeCell="A31" sqref="A31"/>
    </sheetView>
  </sheetViews>
  <sheetFormatPr defaultColWidth="8.85546875" defaultRowHeight="16.5" x14ac:dyDescent="0.3"/>
  <cols>
    <col min="1" max="1" width="219" style="6" customWidth="1"/>
    <col min="2" max="16384" width="8.85546875" style="2"/>
  </cols>
  <sheetData>
    <row r="6" spans="1:1" x14ac:dyDescent="0.3">
      <c r="A6" s="1" t="s">
        <v>0</v>
      </c>
    </row>
    <row r="7" spans="1:1" x14ac:dyDescent="0.3">
      <c r="A7" s="1"/>
    </row>
    <row r="8" spans="1:1" ht="18.75" x14ac:dyDescent="0.3">
      <c r="A8" s="9" t="s">
        <v>1</v>
      </c>
    </row>
    <row r="9" spans="1:1" ht="33" x14ac:dyDescent="0.3">
      <c r="A9" s="1" t="s">
        <v>2</v>
      </c>
    </row>
    <row r="10" spans="1:1" x14ac:dyDescent="0.3">
      <c r="A10" s="1"/>
    </row>
    <row r="11" spans="1:1" ht="18" x14ac:dyDescent="0.3">
      <c r="A11" s="4" t="s">
        <v>3</v>
      </c>
    </row>
    <row r="12" spans="1:1" x14ac:dyDescent="0.3">
      <c r="A12" s="1" t="s">
        <v>4</v>
      </c>
    </row>
    <row r="13" spans="1:1" x14ac:dyDescent="0.3">
      <c r="A13" s="5" t="s">
        <v>5</v>
      </c>
    </row>
    <row r="14" spans="1:1" ht="33" x14ac:dyDescent="0.3">
      <c r="A14" s="5" t="s">
        <v>6</v>
      </c>
    </row>
    <row r="15" spans="1:1" x14ac:dyDescent="0.3">
      <c r="A15" s="5" t="s">
        <v>7</v>
      </c>
    </row>
    <row r="16" spans="1:1" x14ac:dyDescent="0.3">
      <c r="A16" s="5" t="s">
        <v>8</v>
      </c>
    </row>
    <row r="17" spans="1:1" ht="221.25" customHeight="1" x14ac:dyDescent="0.3"/>
    <row r="18" spans="1:1" ht="18" x14ac:dyDescent="0.3">
      <c r="A18" s="4" t="s">
        <v>9</v>
      </c>
    </row>
    <row r="19" spans="1:1" x14ac:dyDescent="0.3">
      <c r="A19" s="1" t="s">
        <v>10</v>
      </c>
    </row>
    <row r="20" spans="1:1" ht="49.5" x14ac:dyDescent="0.3">
      <c r="A20" s="5" t="s">
        <v>11</v>
      </c>
    </row>
    <row r="21" spans="1:1" ht="33" x14ac:dyDescent="0.3">
      <c r="A21" s="5" t="s">
        <v>12</v>
      </c>
    </row>
    <row r="22" spans="1:1" ht="82.5" x14ac:dyDescent="0.3">
      <c r="A22" s="5" t="s">
        <v>13</v>
      </c>
    </row>
    <row r="23" spans="1:1" ht="189" customHeight="1" x14ac:dyDescent="0.3"/>
    <row r="24" spans="1:1" ht="18" x14ac:dyDescent="0.3">
      <c r="A24" s="4" t="s">
        <v>14</v>
      </c>
    </row>
    <row r="25" spans="1:1" x14ac:dyDescent="0.3">
      <c r="A25" s="1" t="s">
        <v>15</v>
      </c>
    </row>
    <row r="26" spans="1:1" ht="33" x14ac:dyDescent="0.3">
      <c r="A26" s="5" t="s">
        <v>16</v>
      </c>
    </row>
    <row r="27" spans="1:1" ht="33" x14ac:dyDescent="0.3">
      <c r="A27" s="5" t="s">
        <v>17</v>
      </c>
    </row>
    <row r="28" spans="1:1" ht="33" x14ac:dyDescent="0.3">
      <c r="A28" s="5" t="s">
        <v>18</v>
      </c>
    </row>
    <row r="29" spans="1:1" x14ac:dyDescent="0.3">
      <c r="A29" s="5" t="s">
        <v>19</v>
      </c>
    </row>
    <row r="30" spans="1:1" x14ac:dyDescent="0.3">
      <c r="A30" s="5" t="s">
        <v>20</v>
      </c>
    </row>
    <row r="31" spans="1:1" ht="153" customHeight="1" x14ac:dyDescent="0.3"/>
    <row r="32" spans="1:1" ht="18" x14ac:dyDescent="0.3">
      <c r="A32" s="4" t="s">
        <v>21</v>
      </c>
    </row>
    <row r="33" spans="1:1" ht="33" x14ac:dyDescent="0.3">
      <c r="A33" s="1" t="s">
        <v>22</v>
      </c>
    </row>
    <row r="34" spans="1:1" ht="90.75" customHeight="1" x14ac:dyDescent="0.3"/>
    <row r="35" spans="1:1" ht="18.75" x14ac:dyDescent="0.3">
      <c r="A35" s="7"/>
    </row>
    <row r="36" spans="1:1" ht="18.75" x14ac:dyDescent="0.3">
      <c r="A36" s="9" t="s">
        <v>23</v>
      </c>
    </row>
    <row r="37" spans="1:1" ht="18.75" x14ac:dyDescent="0.3">
      <c r="A37" s="3"/>
    </row>
    <row r="38" spans="1:1" ht="18" x14ac:dyDescent="0.3">
      <c r="A38" s="4" t="s">
        <v>24</v>
      </c>
    </row>
    <row r="39" spans="1:1" ht="33" x14ac:dyDescent="0.3">
      <c r="A39" s="1" t="s">
        <v>25</v>
      </c>
    </row>
    <row r="40" spans="1:1" x14ac:dyDescent="0.3">
      <c r="A40" s="1" t="s">
        <v>26</v>
      </c>
    </row>
    <row r="41" spans="1:1" ht="268.5" customHeight="1" x14ac:dyDescent="0.3"/>
    <row r="42" spans="1:1" ht="49.5" x14ac:dyDescent="0.3">
      <c r="A42" s="5" t="s">
        <v>27</v>
      </c>
    </row>
    <row r="43" spans="1:1" ht="16.5" customHeight="1" x14ac:dyDescent="0.3">
      <c r="A43" s="5" t="s">
        <v>28</v>
      </c>
    </row>
    <row r="44" spans="1:1" ht="49.5" x14ac:dyDescent="0.3">
      <c r="A44" s="5" t="s">
        <v>29</v>
      </c>
    </row>
    <row r="45" spans="1:1" x14ac:dyDescent="0.3">
      <c r="A45" s="5" t="s">
        <v>30</v>
      </c>
    </row>
    <row r="46" spans="1:1" ht="33" x14ac:dyDescent="0.3">
      <c r="A46" s="5" t="s">
        <v>31</v>
      </c>
    </row>
    <row r="47" spans="1:1" ht="33" x14ac:dyDescent="0.3">
      <c r="A47" s="5" t="s">
        <v>32</v>
      </c>
    </row>
    <row r="48" spans="1:1" ht="49.5" x14ac:dyDescent="0.3">
      <c r="A48" s="5" t="s">
        <v>33</v>
      </c>
    </row>
    <row r="49" spans="1:1" x14ac:dyDescent="0.3">
      <c r="A49" s="5"/>
    </row>
    <row r="50" spans="1:1" ht="18" x14ac:dyDescent="0.3">
      <c r="A50" s="4" t="s">
        <v>34</v>
      </c>
    </row>
    <row r="51" spans="1:1" x14ac:dyDescent="0.3">
      <c r="A51" s="1" t="s">
        <v>35</v>
      </c>
    </row>
    <row r="52" spans="1:1" ht="96.75" customHeight="1" x14ac:dyDescent="0.3">
      <c r="A52" s="8"/>
    </row>
    <row r="53" spans="1:1" ht="18.75" x14ac:dyDescent="0.3">
      <c r="A53" s="9" t="s">
        <v>36</v>
      </c>
    </row>
    <row r="54" spans="1:1" x14ac:dyDescent="0.3">
      <c r="A54" s="1" t="s">
        <v>37</v>
      </c>
    </row>
    <row r="55" spans="1:1" x14ac:dyDescent="0.3">
      <c r="A55" s="1"/>
    </row>
    <row r="56" spans="1:1" ht="18" x14ac:dyDescent="0.3">
      <c r="A56" s="4" t="s">
        <v>38</v>
      </c>
    </row>
    <row r="57" spans="1:1" x14ac:dyDescent="0.3">
      <c r="A57" s="1" t="s">
        <v>39</v>
      </c>
    </row>
    <row r="58" spans="1:1" ht="100.5" customHeight="1" x14ac:dyDescent="0.3">
      <c r="A58" s="1"/>
    </row>
    <row r="60" spans="1:1" ht="18" x14ac:dyDescent="0.3">
      <c r="A60" s="4" t="s">
        <v>40</v>
      </c>
    </row>
    <row r="61" spans="1:1" ht="33" x14ac:dyDescent="0.3">
      <c r="A61" s="1" t="s">
        <v>41</v>
      </c>
    </row>
    <row r="62" spans="1:1" x14ac:dyDescent="0.3">
      <c r="A62" s="5" t="s">
        <v>42</v>
      </c>
    </row>
    <row r="63" spans="1:1" ht="33" x14ac:dyDescent="0.3">
      <c r="A63" s="5" t="s">
        <v>43</v>
      </c>
    </row>
    <row r="64" spans="1:1" ht="409.5" customHeight="1" x14ac:dyDescent="0.3"/>
    <row r="65" spans="1:1" x14ac:dyDescent="0.3">
      <c r="A65" s="1"/>
    </row>
    <row r="66" spans="1:1" ht="18.75" x14ac:dyDescent="0.3">
      <c r="A66" s="7" t="s">
        <v>44</v>
      </c>
    </row>
    <row r="67" spans="1:1" x14ac:dyDescent="0.3">
      <c r="A67" s="5" t="s">
        <v>45</v>
      </c>
    </row>
    <row r="68" spans="1:1" x14ac:dyDescent="0.3">
      <c r="A68" s="5" t="s">
        <v>46</v>
      </c>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E193-5685-408D-9912-074412B84C84}">
  <sheetPr>
    <pageSetUpPr fitToPage="1"/>
  </sheetPr>
  <dimension ref="A9:AD45"/>
  <sheetViews>
    <sheetView zoomScale="115" zoomScaleNormal="100" workbookViewId="0">
      <selection activeCell="D31" sqref="D31"/>
    </sheetView>
  </sheetViews>
  <sheetFormatPr defaultColWidth="8.85546875" defaultRowHeight="16.5" x14ac:dyDescent="0.3"/>
  <cols>
    <col min="1" max="1" width="8.85546875" style="2"/>
    <col min="2" max="2" width="43.85546875" style="2" customWidth="1"/>
    <col min="3" max="3" width="13.42578125" style="2" customWidth="1"/>
    <col min="4" max="4" width="14" style="2" customWidth="1"/>
    <col min="5" max="5" width="14.7109375" style="2" customWidth="1"/>
    <col min="6" max="6" width="15" style="2" customWidth="1"/>
    <col min="7" max="7" width="13.7109375" style="2" customWidth="1"/>
    <col min="8" max="8" width="15.7109375" style="2" customWidth="1"/>
    <col min="9" max="9" width="14" style="2" customWidth="1"/>
    <col min="10" max="10" width="15.7109375" style="2" customWidth="1"/>
    <col min="11" max="11" width="13.140625" style="2" customWidth="1"/>
    <col min="12" max="24" width="12.85546875" style="2" customWidth="1"/>
    <col min="25" max="16384" width="8.85546875" style="2"/>
  </cols>
  <sheetData>
    <row r="9" spans="1:13" ht="20.100000000000001" customHeight="1" x14ac:dyDescent="0.35">
      <c r="A9" s="10" t="s">
        <v>47</v>
      </c>
      <c r="C9" s="11"/>
      <c r="D9" s="11"/>
      <c r="E9" s="11"/>
      <c r="F9" s="11"/>
      <c r="G9" s="11"/>
      <c r="H9" s="11"/>
    </row>
    <row r="10" spans="1:13" ht="30" customHeight="1" x14ac:dyDescent="0.4">
      <c r="A10" s="92" t="s">
        <v>48</v>
      </c>
      <c r="B10" s="93"/>
      <c r="C10" s="94"/>
      <c r="D10" s="94"/>
      <c r="E10" s="13"/>
      <c r="F10" s="13"/>
      <c r="G10" s="13"/>
      <c r="H10" s="13"/>
      <c r="L10" s="14"/>
    </row>
    <row r="11" spans="1:13" ht="66" x14ac:dyDescent="0.3">
      <c r="B11" s="34" t="s">
        <v>49</v>
      </c>
      <c r="C11" s="35" t="s">
        <v>50</v>
      </c>
      <c r="D11" s="34" t="s">
        <v>51</v>
      </c>
      <c r="E11" s="34" t="s">
        <v>52</v>
      </c>
      <c r="F11" s="36" t="s">
        <v>53</v>
      </c>
      <c r="G11" s="37" t="s">
        <v>54</v>
      </c>
      <c r="H11" s="38" t="s">
        <v>55</v>
      </c>
      <c r="I11" s="35" t="s">
        <v>56</v>
      </c>
    </row>
    <row r="12" spans="1:13" x14ac:dyDescent="0.3">
      <c r="B12" s="39" t="s">
        <v>57</v>
      </c>
      <c r="C12" s="40">
        <v>100</v>
      </c>
      <c r="D12" s="41">
        <v>0.7</v>
      </c>
      <c r="E12" s="42">
        <f>D12*C12</f>
        <v>70</v>
      </c>
      <c r="F12" s="41">
        <v>0.9</v>
      </c>
      <c r="G12" s="41">
        <v>0.05</v>
      </c>
      <c r="H12" s="41">
        <v>0.05</v>
      </c>
      <c r="I12" s="43">
        <f t="shared" ref="I12:I16" si="0">SUM(F12:H12)</f>
        <v>1</v>
      </c>
    </row>
    <row r="13" spans="1:13" x14ac:dyDescent="0.3">
      <c r="B13" s="39" t="s">
        <v>58</v>
      </c>
      <c r="C13" s="40">
        <v>100</v>
      </c>
      <c r="D13" s="41">
        <v>0.5</v>
      </c>
      <c r="E13" s="42">
        <f t="shared" ref="E13:E16" si="1">D13*C13</f>
        <v>50</v>
      </c>
      <c r="F13" s="41">
        <v>0.85</v>
      </c>
      <c r="G13" s="41">
        <v>0.05</v>
      </c>
      <c r="H13" s="41">
        <v>0.1</v>
      </c>
      <c r="I13" s="43">
        <f t="shared" si="0"/>
        <v>1</v>
      </c>
      <c r="J13" s="15"/>
      <c r="K13" s="15"/>
      <c r="L13" s="16"/>
      <c r="M13" s="16"/>
    </row>
    <row r="14" spans="1:13" x14ac:dyDescent="0.3">
      <c r="B14" s="39" t="s">
        <v>59</v>
      </c>
      <c r="C14" s="40">
        <v>100</v>
      </c>
      <c r="D14" s="41">
        <v>0.3</v>
      </c>
      <c r="E14" s="42">
        <f t="shared" si="1"/>
        <v>30</v>
      </c>
      <c r="F14" s="41">
        <v>1</v>
      </c>
      <c r="G14" s="41">
        <v>0</v>
      </c>
      <c r="H14" s="41">
        <v>0</v>
      </c>
      <c r="I14" s="43">
        <f t="shared" si="0"/>
        <v>1</v>
      </c>
      <c r="J14" s="15"/>
      <c r="K14" s="15"/>
      <c r="L14" s="17"/>
      <c r="M14" s="16"/>
    </row>
    <row r="15" spans="1:13" x14ac:dyDescent="0.3">
      <c r="B15" s="39" t="s">
        <v>60</v>
      </c>
      <c r="C15" s="40">
        <v>100</v>
      </c>
      <c r="D15" s="41">
        <v>0.05</v>
      </c>
      <c r="E15" s="42">
        <f t="shared" si="1"/>
        <v>5</v>
      </c>
      <c r="F15" s="41">
        <v>0.9</v>
      </c>
      <c r="G15" s="41">
        <v>0.05</v>
      </c>
      <c r="H15" s="41">
        <v>0.05</v>
      </c>
      <c r="I15" s="43">
        <f t="shared" si="0"/>
        <v>1</v>
      </c>
      <c r="J15" s="15"/>
      <c r="K15" s="15"/>
      <c r="L15" s="17"/>
      <c r="M15" s="16"/>
    </row>
    <row r="16" spans="1:13" x14ac:dyDescent="0.3">
      <c r="B16" s="39" t="s">
        <v>61</v>
      </c>
      <c r="C16" s="40">
        <v>0</v>
      </c>
      <c r="D16" s="41">
        <v>0</v>
      </c>
      <c r="E16" s="42">
        <f t="shared" si="1"/>
        <v>0</v>
      </c>
      <c r="F16" s="41">
        <v>0</v>
      </c>
      <c r="G16" s="41">
        <v>0</v>
      </c>
      <c r="H16" s="41">
        <v>0</v>
      </c>
      <c r="I16" s="43">
        <f t="shared" si="0"/>
        <v>0</v>
      </c>
      <c r="J16" s="15"/>
      <c r="K16" s="15"/>
      <c r="L16" s="17"/>
      <c r="M16" s="16"/>
    </row>
    <row r="17" spans="1:30" ht="51" x14ac:dyDescent="0.3">
      <c r="B17" s="44" t="s">
        <v>62</v>
      </c>
      <c r="C17" s="40"/>
      <c r="D17" s="41"/>
      <c r="E17" s="42"/>
      <c r="F17" s="54" t="s">
        <v>63</v>
      </c>
      <c r="G17" s="55" t="s">
        <v>64</v>
      </c>
      <c r="H17" s="56" t="s">
        <v>65</v>
      </c>
      <c r="I17" s="45"/>
      <c r="J17" s="15"/>
      <c r="K17" s="15"/>
      <c r="L17" s="17"/>
      <c r="M17" s="16"/>
    </row>
    <row r="18" spans="1:30" x14ac:dyDescent="0.3">
      <c r="B18" s="46" t="s">
        <v>66</v>
      </c>
      <c r="C18" s="47">
        <f>SUM(C12:C16)</f>
        <v>400</v>
      </c>
      <c r="D18" s="48"/>
      <c r="E18" s="42">
        <f>SUM(E12:E16)</f>
        <v>155</v>
      </c>
      <c r="F18" s="49">
        <f>F12*$E$12+F13*$E$13+F14*$E$14+F15*$E$15+F16*$E$16</f>
        <v>140</v>
      </c>
      <c r="G18" s="49">
        <f>G12*$E$12+G13*$E$13+G14*$E$14+G15*$E$15+G16*$E$16</f>
        <v>6.25</v>
      </c>
      <c r="H18" s="49">
        <f>H12*$E$12+H13*$E$13+H14*$E$14+H15*$E$15+H16*$E$16</f>
        <v>8.75</v>
      </c>
      <c r="I18" s="50"/>
      <c r="J18" s="15"/>
      <c r="K18" s="15"/>
      <c r="L18" s="17"/>
      <c r="M18" s="16"/>
    </row>
    <row r="19" spans="1:30" x14ac:dyDescent="0.3">
      <c r="B19" s="51" t="s">
        <v>67</v>
      </c>
      <c r="C19" s="48"/>
      <c r="D19" s="41"/>
      <c r="E19" s="52"/>
      <c r="F19" s="53">
        <f>F18/$E$18</f>
        <v>0.90322580645161288</v>
      </c>
      <c r="G19" s="53">
        <f>G18/$E$18</f>
        <v>4.0322580645161289E-2</v>
      </c>
      <c r="H19" s="53">
        <f>H18/$E$18</f>
        <v>5.6451612903225805E-2</v>
      </c>
      <c r="I19" s="43">
        <f>SUM(F19:H19)</f>
        <v>0.99999999999999989</v>
      </c>
      <c r="J19" s="15"/>
      <c r="K19" s="15"/>
      <c r="L19" s="17"/>
      <c r="M19" s="16"/>
    </row>
    <row r="20" spans="1:30" ht="18" x14ac:dyDescent="0.3">
      <c r="B20" s="2" t="s">
        <v>68</v>
      </c>
      <c r="I20" s="15"/>
      <c r="J20" s="15"/>
      <c r="K20" s="15"/>
      <c r="L20" s="16"/>
      <c r="M20" s="16"/>
    </row>
    <row r="21" spans="1:30" x14ac:dyDescent="0.3">
      <c r="B21" s="6"/>
      <c r="I21" s="15"/>
      <c r="J21" s="15"/>
      <c r="K21" s="15"/>
      <c r="L21" s="16"/>
      <c r="M21" s="16"/>
    </row>
    <row r="22" spans="1:30" ht="21" x14ac:dyDescent="0.4">
      <c r="A22" s="92" t="s">
        <v>69</v>
      </c>
      <c r="B22" s="95"/>
      <c r="C22" s="93"/>
      <c r="D22" s="93"/>
      <c r="E22" s="93"/>
      <c r="I22" s="15"/>
      <c r="J22" s="15"/>
      <c r="K22" s="15"/>
      <c r="L22" s="14"/>
      <c r="M22" s="16"/>
      <c r="N22" s="16"/>
    </row>
    <row r="23" spans="1:30" x14ac:dyDescent="0.3">
      <c r="B23" s="6"/>
      <c r="E23" s="73" t="s">
        <v>70</v>
      </c>
      <c r="F23" s="74" t="s">
        <v>71</v>
      </c>
      <c r="J23" s="15"/>
      <c r="K23" s="15"/>
      <c r="L23" s="16"/>
      <c r="M23" s="16"/>
    </row>
    <row r="24" spans="1:30" ht="29.25" customHeight="1" x14ac:dyDescent="0.3">
      <c r="B24" s="48" t="s">
        <v>72</v>
      </c>
      <c r="C24" s="48"/>
      <c r="D24" s="57">
        <v>20</v>
      </c>
      <c r="E24" s="58" t="s">
        <v>73</v>
      </c>
      <c r="F24" s="199" t="s">
        <v>74</v>
      </c>
      <c r="G24" s="198"/>
      <c r="H24" s="198"/>
      <c r="I24" s="198"/>
      <c r="J24" s="198"/>
      <c r="K24" s="198"/>
      <c r="AD24" s="21"/>
    </row>
    <row r="25" spans="1:30" x14ac:dyDescent="0.3">
      <c r="B25" s="48" t="s">
        <v>75</v>
      </c>
      <c r="C25" s="48"/>
      <c r="D25" s="57">
        <v>25</v>
      </c>
      <c r="E25" s="58" t="s">
        <v>76</v>
      </c>
      <c r="F25" s="59" t="s">
        <v>77</v>
      </c>
      <c r="G25" s="60"/>
      <c r="H25" s="60"/>
      <c r="I25" s="60"/>
      <c r="J25" s="60"/>
      <c r="K25" s="48"/>
    </row>
    <row r="26" spans="1:30" x14ac:dyDescent="0.3">
      <c r="B26" s="48" t="s">
        <v>78</v>
      </c>
      <c r="C26" s="48"/>
      <c r="D26" s="61">
        <f>E18</f>
        <v>155</v>
      </c>
      <c r="E26" s="58" t="s">
        <v>73</v>
      </c>
      <c r="F26" s="59" t="s">
        <v>79</v>
      </c>
      <c r="G26" s="60"/>
      <c r="H26" s="60"/>
      <c r="I26" s="60"/>
      <c r="J26" s="60"/>
      <c r="K26" s="48"/>
    </row>
    <row r="27" spans="1:30" x14ac:dyDescent="0.3">
      <c r="B27" s="48" t="s">
        <v>80</v>
      </c>
      <c r="C27" s="48"/>
      <c r="D27" s="62">
        <v>1.5E-3</v>
      </c>
      <c r="E27" s="63" t="s">
        <v>81</v>
      </c>
      <c r="F27" s="59" t="s">
        <v>82</v>
      </c>
      <c r="G27" s="60"/>
      <c r="H27" s="60"/>
      <c r="I27" s="60"/>
      <c r="J27" s="60"/>
      <c r="K27" s="48"/>
    </row>
    <row r="28" spans="1:30" x14ac:dyDescent="0.3">
      <c r="B28" s="48" t="s">
        <v>83</v>
      </c>
      <c r="C28" s="48"/>
      <c r="D28" s="64">
        <f>'water provider assumptions'!F37</f>
        <v>2.1666695163477434</v>
      </c>
      <c r="E28" s="58" t="s">
        <v>84</v>
      </c>
      <c r="F28" s="65" t="s">
        <v>85</v>
      </c>
      <c r="G28" s="65"/>
      <c r="H28" s="48"/>
      <c r="I28" s="48"/>
      <c r="J28" s="48"/>
      <c r="K28" s="48"/>
    </row>
    <row r="29" spans="1:30" x14ac:dyDescent="0.3">
      <c r="B29" s="48" t="s">
        <v>86</v>
      </c>
      <c r="C29" s="48"/>
      <c r="D29" s="64">
        <f>'O&amp;M assumptions'!O42</f>
        <v>0.70094178211870228</v>
      </c>
      <c r="E29" s="58" t="s">
        <v>84</v>
      </c>
      <c r="F29" s="65" t="s">
        <v>87</v>
      </c>
      <c r="G29" s="65"/>
      <c r="H29" s="48"/>
      <c r="I29" s="48"/>
      <c r="J29" s="48"/>
      <c r="K29" s="48"/>
    </row>
    <row r="30" spans="1:30" ht="28.5" customHeight="1" x14ac:dyDescent="0.3">
      <c r="B30" s="48" t="s">
        <v>88</v>
      </c>
      <c r="C30" s="48"/>
      <c r="D30" s="66">
        <v>1</v>
      </c>
      <c r="E30" s="67" t="s">
        <v>89</v>
      </c>
      <c r="F30" s="197" t="s">
        <v>90</v>
      </c>
      <c r="G30" s="198"/>
      <c r="H30" s="198"/>
      <c r="I30" s="198"/>
      <c r="J30" s="198"/>
      <c r="K30" s="198"/>
    </row>
    <row r="31" spans="1:30" x14ac:dyDescent="0.3">
      <c r="B31" s="48" t="s">
        <v>91</v>
      </c>
      <c r="C31" s="48"/>
      <c r="D31" s="68">
        <v>0</v>
      </c>
      <c r="E31" s="69" t="s">
        <v>92</v>
      </c>
      <c r="F31" s="65" t="s">
        <v>93</v>
      </c>
      <c r="G31" s="48"/>
      <c r="H31" s="48"/>
      <c r="I31" s="48"/>
      <c r="J31" s="70"/>
      <c r="K31" s="70"/>
      <c r="W31" s="16"/>
      <c r="X31" s="16"/>
    </row>
    <row r="32" spans="1:30" ht="49.5" x14ac:dyDescent="0.3">
      <c r="B32" s="71" t="s">
        <v>94</v>
      </c>
      <c r="C32" s="48"/>
      <c r="D32" s="72" t="s">
        <v>95</v>
      </c>
      <c r="E32" s="72"/>
      <c r="F32" s="197" t="s">
        <v>96</v>
      </c>
      <c r="G32" s="198"/>
      <c r="H32" s="198"/>
      <c r="I32" s="198"/>
      <c r="J32" s="198"/>
      <c r="K32" s="198"/>
      <c r="L32" s="14"/>
      <c r="M32" s="14"/>
      <c r="N32" s="14"/>
      <c r="O32" s="14"/>
      <c r="P32" s="14"/>
      <c r="Q32" s="14"/>
      <c r="R32" s="14"/>
      <c r="S32" s="14"/>
      <c r="T32" s="14"/>
      <c r="U32" s="14"/>
      <c r="V32" s="14"/>
      <c r="W32" s="16"/>
      <c r="X32" s="16"/>
    </row>
    <row r="33" spans="1:25" x14ac:dyDescent="0.3">
      <c r="B33" s="6"/>
      <c r="I33" s="15"/>
      <c r="J33" s="15"/>
      <c r="K33" s="14"/>
      <c r="L33" s="16"/>
      <c r="M33" s="16"/>
      <c r="N33" s="16"/>
      <c r="O33" s="16"/>
      <c r="P33" s="16"/>
      <c r="Q33" s="16"/>
      <c r="R33" s="16"/>
      <c r="S33" s="16"/>
      <c r="T33" s="16"/>
      <c r="U33" s="16"/>
      <c r="V33" s="16"/>
      <c r="W33" s="16"/>
    </row>
    <row r="34" spans="1:25" ht="21" x14ac:dyDescent="0.4">
      <c r="A34" s="92" t="s">
        <v>97</v>
      </c>
      <c r="B34" s="95"/>
      <c r="C34" s="93"/>
      <c r="D34" s="93"/>
      <c r="E34" s="93"/>
      <c r="F34" s="93"/>
      <c r="I34" s="15"/>
      <c r="J34" s="15"/>
      <c r="K34" s="14"/>
      <c r="L34" s="16"/>
      <c r="M34" s="16"/>
      <c r="N34" s="16"/>
      <c r="O34" s="16"/>
      <c r="P34" s="16"/>
      <c r="Q34" s="16"/>
      <c r="R34" s="16"/>
      <c r="S34" s="16"/>
      <c r="T34" s="16"/>
      <c r="U34" s="16"/>
      <c r="V34" s="16"/>
      <c r="W34" s="16"/>
    </row>
    <row r="35" spans="1:25" x14ac:dyDescent="0.3">
      <c r="B35" s="6"/>
      <c r="I35" s="15"/>
      <c r="J35" s="15"/>
      <c r="K35" s="14"/>
      <c r="L35" s="16"/>
      <c r="M35" s="16"/>
      <c r="N35" s="16"/>
      <c r="O35" s="16"/>
      <c r="P35" s="16"/>
      <c r="Q35" s="16"/>
      <c r="R35" s="16"/>
      <c r="S35" s="16"/>
      <c r="T35" s="16"/>
      <c r="U35" s="16"/>
      <c r="V35" s="16"/>
      <c r="W35" s="16"/>
    </row>
    <row r="36" spans="1:25" ht="123" customHeight="1" x14ac:dyDescent="0.3">
      <c r="B36" s="6"/>
      <c r="C36" s="35" t="s">
        <v>98</v>
      </c>
      <c r="D36" s="35" t="s">
        <v>99</v>
      </c>
      <c r="E36" s="35" t="s">
        <v>100</v>
      </c>
      <c r="F36" s="35" t="s">
        <v>101</v>
      </c>
      <c r="G36" s="35" t="s">
        <v>102</v>
      </c>
      <c r="H36" s="35" t="s">
        <v>103</v>
      </c>
      <c r="I36" s="35" t="s">
        <v>104</v>
      </c>
      <c r="J36" s="35" t="s">
        <v>105</v>
      </c>
      <c r="K36" s="35" t="s">
        <v>106</v>
      </c>
      <c r="L36" s="16"/>
      <c r="M36" s="16"/>
      <c r="N36" s="16"/>
      <c r="O36" s="16"/>
      <c r="P36" s="16"/>
      <c r="Q36" s="16"/>
      <c r="R36" s="16"/>
      <c r="S36" s="16"/>
      <c r="T36" s="16"/>
      <c r="U36" s="16"/>
      <c r="V36" s="16"/>
      <c r="W36" s="16"/>
    </row>
    <row r="37" spans="1:25" ht="33" x14ac:dyDescent="0.3">
      <c r="B37" s="71" t="s">
        <v>107</v>
      </c>
      <c r="C37" s="70">
        <f>ROUND('business decision calcs'!N44,-2)</f>
        <v>23035300</v>
      </c>
      <c r="D37" s="70">
        <f>ROUND('business decision calcs'!T44,-2)</f>
        <v>28580000</v>
      </c>
      <c r="E37" s="76">
        <f>C37-D37</f>
        <v>-5544700</v>
      </c>
      <c r="F37" s="77">
        <f>ROUND(PMT(0.03,30,E37)*-1,-2)</f>
        <v>-282900</v>
      </c>
      <c r="G37" s="78">
        <f>C37/D37</f>
        <v>0.8059937018894332</v>
      </c>
      <c r="H37" s="79" t="s">
        <v>108</v>
      </c>
      <c r="I37" s="80">
        <f>'business decision calcs'!J44</f>
        <v>6290.4682752409999</v>
      </c>
      <c r="J37" s="81">
        <f>D37/I37</f>
        <v>4543.3819470149137</v>
      </c>
      <c r="K37" s="76">
        <f>PMT(0.03,30,J37)*-1</f>
        <v>231.7999817457079</v>
      </c>
      <c r="L37" s="16"/>
      <c r="M37" s="16"/>
      <c r="N37" s="16"/>
      <c r="O37" s="16"/>
      <c r="P37" s="16"/>
      <c r="Q37" s="16"/>
      <c r="R37" s="16"/>
      <c r="S37" s="16"/>
      <c r="T37" s="16"/>
      <c r="U37" s="16"/>
      <c r="V37" s="16"/>
      <c r="W37" s="16"/>
    </row>
    <row r="38" spans="1:25" ht="33" x14ac:dyDescent="0.3">
      <c r="B38" s="71" t="s">
        <v>109</v>
      </c>
      <c r="C38" s="82">
        <f>ROUND('provider community calcs'!P44,-2)</f>
        <v>11779300</v>
      </c>
      <c r="D38" s="82">
        <f>IF(D32="Yes",ROUND('provider community calcs'!J44+'provider community calcs'!G44,-2),ROUND('provider community calcs'!J44,-2))</f>
        <v>6042000</v>
      </c>
      <c r="E38" s="83">
        <f>C38-D38</f>
        <v>5737300</v>
      </c>
      <c r="F38" s="82">
        <f>ROUND(PMT(0.03,30,E38)*-1,-2)</f>
        <v>292700</v>
      </c>
      <c r="G38" s="78">
        <f>IF('provider community calcs'!J44&gt;0,'dashboard and results'!C38/'dashboard and results'!D38,0)</f>
        <v>1.9495696789142667</v>
      </c>
      <c r="H38" s="84">
        <f>MAX('provider community calcs'!K13:K42)*-1</f>
        <v>-8.1631029720602381E-3</v>
      </c>
      <c r="I38" s="70"/>
      <c r="J38" s="81">
        <f>D38/I37</f>
        <v>960.50083008621789</v>
      </c>
      <c r="K38" s="76">
        <f>PMT(0.03,30,J38)*-1</f>
        <v>49.004040927486606</v>
      </c>
      <c r="L38" s="16"/>
      <c r="M38" s="16"/>
      <c r="N38" s="16"/>
      <c r="O38" s="16"/>
      <c r="P38" s="16"/>
      <c r="Q38" s="16"/>
      <c r="R38" s="16"/>
      <c r="S38" s="16"/>
      <c r="T38" s="16"/>
      <c r="U38" s="16"/>
      <c r="V38" s="16"/>
      <c r="W38" s="16"/>
    </row>
    <row r="39" spans="1:25" x14ac:dyDescent="0.3">
      <c r="B39" s="48" t="s">
        <v>110</v>
      </c>
      <c r="C39" s="82">
        <f>SUM(C37:C38)</f>
        <v>34814600</v>
      </c>
      <c r="D39" s="82">
        <f>SUM(D37:D38)</f>
        <v>34622000</v>
      </c>
      <c r="E39" s="83">
        <f>SUM(E37:E38)</f>
        <v>192600</v>
      </c>
      <c r="F39" s="82">
        <f>SUM(F37:F38)</f>
        <v>9800</v>
      </c>
      <c r="G39" s="85">
        <f>C39/D39</f>
        <v>1.0055629368609555</v>
      </c>
      <c r="H39" s="86"/>
      <c r="I39" s="87">
        <f>SUM(I37:I38)</f>
        <v>6290.4682752409999</v>
      </c>
      <c r="J39" s="81">
        <f>SUM(J37:J38)</f>
        <v>5503.882777101132</v>
      </c>
      <c r="K39" s="88">
        <f>SUM(K37:K38)</f>
        <v>280.80402267319448</v>
      </c>
      <c r="L39" s="16"/>
      <c r="M39" s="16"/>
      <c r="N39" s="16"/>
      <c r="O39" s="16"/>
      <c r="P39" s="16"/>
      <c r="Q39" s="16"/>
      <c r="R39" s="16"/>
      <c r="S39" s="16"/>
      <c r="T39" s="16"/>
      <c r="U39" s="16"/>
      <c r="V39" s="16"/>
      <c r="W39" s="16"/>
    </row>
    <row r="40" spans="1:25" x14ac:dyDescent="0.3">
      <c r="C40" s="27"/>
      <c r="D40" s="27"/>
      <c r="E40" s="14"/>
      <c r="F40" s="27"/>
      <c r="G40" s="28"/>
      <c r="H40" s="29"/>
      <c r="I40" s="30"/>
      <c r="J40" s="26"/>
      <c r="K40" s="31"/>
      <c r="L40" s="16"/>
      <c r="M40" s="16"/>
      <c r="N40" s="16"/>
      <c r="O40" s="16"/>
      <c r="P40" s="16"/>
      <c r="Q40" s="16"/>
      <c r="R40" s="16"/>
      <c r="S40" s="16"/>
      <c r="T40" s="16"/>
      <c r="U40" s="16"/>
      <c r="V40" s="16"/>
      <c r="W40" s="16"/>
    </row>
    <row r="41" spans="1:25" ht="18" x14ac:dyDescent="0.35">
      <c r="A41" s="96" t="s">
        <v>21</v>
      </c>
      <c r="B41" s="93"/>
      <c r="C41" s="27"/>
      <c r="D41" s="27"/>
      <c r="E41" s="14"/>
      <c r="F41" s="27"/>
      <c r="G41" s="28"/>
      <c r="H41" s="29"/>
      <c r="I41" s="30"/>
      <c r="J41" s="26"/>
      <c r="K41" s="31"/>
      <c r="L41" s="16"/>
      <c r="M41" s="16"/>
      <c r="N41" s="16"/>
      <c r="O41" s="16"/>
      <c r="P41" s="16"/>
      <c r="Q41" s="16"/>
      <c r="R41" s="16"/>
      <c r="S41" s="16"/>
      <c r="T41" s="16"/>
      <c r="U41" s="16"/>
      <c r="V41" s="16"/>
      <c r="W41" s="16"/>
    </row>
    <row r="42" spans="1:25" ht="39" customHeight="1" x14ac:dyDescent="0.35">
      <c r="A42" s="32"/>
      <c r="C42" s="196" t="s">
        <v>111</v>
      </c>
      <c r="D42" s="196"/>
      <c r="E42" s="196"/>
      <c r="F42" s="27"/>
      <c r="G42" s="28"/>
      <c r="H42" s="29"/>
      <c r="I42" s="30"/>
      <c r="J42" s="26"/>
      <c r="K42" s="31"/>
      <c r="L42" s="16"/>
      <c r="M42" s="16"/>
      <c r="N42" s="16"/>
      <c r="O42" s="16"/>
      <c r="P42" s="16"/>
      <c r="Q42" s="16"/>
      <c r="R42" s="16"/>
      <c r="S42" s="16"/>
      <c r="T42" s="16"/>
      <c r="U42" s="16"/>
      <c r="V42" s="16"/>
      <c r="W42" s="16"/>
    </row>
    <row r="43" spans="1:25" ht="18" x14ac:dyDescent="0.35">
      <c r="A43" s="32"/>
      <c r="C43" s="91" t="s">
        <v>112</v>
      </c>
      <c r="D43" s="91" t="s">
        <v>113</v>
      </c>
      <c r="E43" s="89" t="s">
        <v>114</v>
      </c>
      <c r="F43" s="27"/>
      <c r="G43" s="28"/>
      <c r="H43" s="29"/>
      <c r="I43" s="30"/>
      <c r="J43" s="26"/>
      <c r="K43" s="31"/>
      <c r="L43" s="16"/>
      <c r="M43" s="16"/>
      <c r="N43" s="16"/>
      <c r="O43" s="16"/>
      <c r="P43" s="16"/>
      <c r="Q43" s="16"/>
      <c r="R43" s="16"/>
      <c r="S43" s="16"/>
      <c r="T43" s="16"/>
      <c r="U43" s="16"/>
      <c r="V43" s="16"/>
      <c r="W43" s="16"/>
    </row>
    <row r="44" spans="1:25" ht="33.75" x14ac:dyDescent="0.35">
      <c r="A44" s="32"/>
      <c r="B44" s="71" t="s">
        <v>115</v>
      </c>
      <c r="C44" s="90">
        <f>'provider community calcs'!K18</f>
        <v>7.5401300018678218E-3</v>
      </c>
      <c r="D44" s="90">
        <f>'provider community calcs'!K23</f>
        <v>7.9534427754607059E-3</v>
      </c>
      <c r="E44" s="90">
        <f>'provider community calcs'!K42</f>
        <v>6.7985966156531037E-3</v>
      </c>
      <c r="F44" s="27"/>
      <c r="G44" s="28"/>
      <c r="H44" s="29"/>
      <c r="I44" s="30"/>
      <c r="J44" s="26"/>
      <c r="K44" s="31"/>
      <c r="L44" s="16"/>
      <c r="M44" s="16"/>
      <c r="N44" s="16"/>
      <c r="O44" s="16"/>
      <c r="P44" s="16"/>
      <c r="Q44" s="16"/>
      <c r="R44" s="16"/>
      <c r="S44" s="16"/>
      <c r="T44" s="16"/>
      <c r="U44" s="16"/>
      <c r="V44" s="16"/>
      <c r="W44" s="16"/>
    </row>
    <row r="45" spans="1:25" ht="17.25" thickBot="1" x14ac:dyDescent="0.35">
      <c r="A45" s="33"/>
      <c r="B45" s="33"/>
      <c r="C45" s="33"/>
      <c r="D45" s="33"/>
      <c r="E45" s="33"/>
      <c r="F45" s="33"/>
      <c r="G45" s="33"/>
      <c r="H45" s="33"/>
      <c r="I45" s="33"/>
      <c r="J45" s="33"/>
      <c r="K45" s="33"/>
      <c r="Y45" s="19"/>
    </row>
  </sheetData>
  <mergeCells count="4">
    <mergeCell ref="C42:E42"/>
    <mergeCell ref="F32:K32"/>
    <mergeCell ref="F30:K30"/>
    <mergeCell ref="F24:K24"/>
  </mergeCells>
  <pageMargins left="0.7" right="0.7" top="0.75" bottom="0.75" header="0.3" footer="0.3"/>
  <pageSetup scale="5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837D-D796-435A-8B00-65285DD3B9B5}">
  <dimension ref="A7:V41"/>
  <sheetViews>
    <sheetView zoomScaleNormal="100" workbookViewId="0"/>
  </sheetViews>
  <sheetFormatPr defaultColWidth="8.85546875" defaultRowHeight="16.5" x14ac:dyDescent="0.3"/>
  <cols>
    <col min="1" max="1" width="8.85546875" style="2"/>
    <col min="2" max="2" width="53.42578125" style="2" customWidth="1"/>
    <col min="3" max="3" width="15.42578125" style="2" customWidth="1"/>
    <col min="4" max="4" width="11.7109375" style="2" customWidth="1"/>
    <col min="5" max="9" width="8.85546875" style="2"/>
    <col min="10" max="10" width="9.85546875" style="2" customWidth="1"/>
    <col min="11" max="16384" width="8.85546875" style="2"/>
  </cols>
  <sheetData>
    <row r="7" spans="1:11" ht="18" x14ac:dyDescent="0.35">
      <c r="A7" s="10" t="s">
        <v>116</v>
      </c>
    </row>
    <row r="8" spans="1:11" ht="17.25" thickBot="1" x14ac:dyDescent="0.35">
      <c r="A8" s="97"/>
      <c r="B8" s="98"/>
      <c r="C8" s="33"/>
      <c r="D8" s="33"/>
      <c r="E8" s="33"/>
      <c r="F8" s="33"/>
      <c r="G8" s="33"/>
      <c r="H8" s="33"/>
      <c r="I8" s="33"/>
      <c r="J8" s="33"/>
      <c r="K8" s="33"/>
    </row>
    <row r="9" spans="1:11" x14ac:dyDescent="0.3">
      <c r="A9" s="99"/>
      <c r="B9" s="100"/>
    </row>
    <row r="10" spans="1:11" ht="21" x14ac:dyDescent="0.4">
      <c r="A10" s="92" t="s">
        <v>24</v>
      </c>
      <c r="B10" s="123"/>
    </row>
    <row r="11" spans="1:11" ht="13.35" customHeight="1" x14ac:dyDescent="0.4">
      <c r="A11" s="12"/>
      <c r="B11" s="100"/>
    </row>
    <row r="12" spans="1:11" x14ac:dyDescent="0.3">
      <c r="B12" s="99" t="s">
        <v>117</v>
      </c>
    </row>
    <row r="13" spans="1:11" ht="39.950000000000003" customHeight="1" x14ac:dyDescent="0.3">
      <c r="B13" s="2" t="s">
        <v>118</v>
      </c>
      <c r="C13" s="101">
        <v>25000</v>
      </c>
      <c r="D13" s="202" t="s">
        <v>119</v>
      </c>
      <c r="E13" s="203"/>
      <c r="F13" s="203"/>
      <c r="G13" s="203"/>
      <c r="H13" s="203"/>
      <c r="I13" s="203"/>
      <c r="J13" s="203"/>
      <c r="K13" s="203"/>
    </row>
    <row r="14" spans="1:11" ht="33" x14ac:dyDescent="0.3">
      <c r="B14" s="6" t="s">
        <v>120</v>
      </c>
      <c r="C14" s="102">
        <f>PMT(0.03,30,C13)*-1/325.9</f>
        <v>3.9137204142568716</v>
      </c>
      <c r="D14" s="23" t="s">
        <v>121</v>
      </c>
    </row>
    <row r="15" spans="1:11" x14ac:dyDescent="0.3">
      <c r="B15" s="6"/>
      <c r="C15" s="102"/>
      <c r="D15" s="23"/>
    </row>
    <row r="16" spans="1:11" ht="36" customHeight="1" x14ac:dyDescent="0.3">
      <c r="B16" s="6" t="s">
        <v>122</v>
      </c>
      <c r="C16" s="101">
        <v>0</v>
      </c>
      <c r="D16" s="202" t="s">
        <v>123</v>
      </c>
      <c r="E16" s="203"/>
      <c r="F16" s="203"/>
      <c r="G16" s="203"/>
      <c r="H16" s="203"/>
      <c r="I16" s="203"/>
      <c r="J16" s="203"/>
      <c r="K16" s="203"/>
    </row>
    <row r="17" spans="1:11" x14ac:dyDescent="0.3">
      <c r="B17" s="6"/>
      <c r="C17" s="102"/>
      <c r="D17" s="23"/>
    </row>
    <row r="18" spans="1:11" x14ac:dyDescent="0.3">
      <c r="B18" s="103" t="s">
        <v>124</v>
      </c>
      <c r="C18" s="104">
        <v>0.02</v>
      </c>
      <c r="D18" s="23" t="s">
        <v>125</v>
      </c>
    </row>
    <row r="19" spans="1:11" x14ac:dyDescent="0.3">
      <c r="D19" s="23"/>
    </row>
    <row r="20" spans="1:11" x14ac:dyDescent="0.3">
      <c r="B20" s="2" t="s">
        <v>126</v>
      </c>
      <c r="C20" s="105">
        <v>4</v>
      </c>
      <c r="D20" s="106" t="s">
        <v>127</v>
      </c>
    </row>
    <row r="21" spans="1:11" x14ac:dyDescent="0.3">
      <c r="D21" s="23"/>
    </row>
    <row r="22" spans="1:11" x14ac:dyDescent="0.3">
      <c r="B22" s="6" t="s">
        <v>128</v>
      </c>
      <c r="C22" s="107">
        <v>3.5</v>
      </c>
      <c r="D22" s="106" t="s">
        <v>129</v>
      </c>
    </row>
    <row r="23" spans="1:11" x14ac:dyDescent="0.3">
      <c r="B23" s="6" t="s">
        <v>130</v>
      </c>
      <c r="C23" s="104">
        <v>0.02</v>
      </c>
      <c r="D23" s="106" t="s">
        <v>131</v>
      </c>
    </row>
    <row r="24" spans="1:11" x14ac:dyDescent="0.3">
      <c r="D24" s="23"/>
    </row>
    <row r="25" spans="1:11" x14ac:dyDescent="0.3">
      <c r="B25" s="2" t="s">
        <v>132</v>
      </c>
      <c r="C25" s="108">
        <v>30000000</v>
      </c>
      <c r="D25" s="23" t="s">
        <v>133</v>
      </c>
    </row>
    <row r="26" spans="1:11" x14ac:dyDescent="0.3">
      <c r="B26" s="2" t="s">
        <v>134</v>
      </c>
      <c r="C26" s="104">
        <v>0.03</v>
      </c>
      <c r="D26" s="23" t="s">
        <v>135</v>
      </c>
    </row>
    <row r="27" spans="1:11" hidden="1" x14ac:dyDescent="0.3"/>
    <row r="28" spans="1:11" hidden="1" x14ac:dyDescent="0.3">
      <c r="B28" s="2" t="s">
        <v>136</v>
      </c>
      <c r="C28" s="109">
        <v>0</v>
      </c>
      <c r="D28" s="109"/>
      <c r="E28" s="2" t="s">
        <v>137</v>
      </c>
    </row>
    <row r="29" spans="1:11" ht="17.25" thickBot="1" x14ac:dyDescent="0.35">
      <c r="A29" s="33"/>
      <c r="B29" s="33"/>
      <c r="C29" s="33"/>
      <c r="D29" s="33"/>
      <c r="E29" s="33"/>
      <c r="F29" s="33"/>
      <c r="G29" s="33"/>
      <c r="H29" s="33"/>
      <c r="I29" s="33"/>
      <c r="J29" s="33"/>
      <c r="K29" s="33"/>
    </row>
    <row r="31" spans="1:11" ht="21" x14ac:dyDescent="0.4">
      <c r="A31" s="92" t="s">
        <v>34</v>
      </c>
      <c r="B31" s="93"/>
      <c r="C31" s="93"/>
      <c r="D31" s="93"/>
    </row>
    <row r="32" spans="1:11" ht="21" x14ac:dyDescent="0.4">
      <c r="A32" s="12"/>
    </row>
    <row r="33" spans="1:22" ht="21" x14ac:dyDescent="0.4">
      <c r="A33" s="12"/>
      <c r="B33" s="2" t="s">
        <v>138</v>
      </c>
    </row>
    <row r="35" spans="1:22" x14ac:dyDescent="0.3">
      <c r="B35" s="198" t="s">
        <v>139</v>
      </c>
      <c r="C35" s="200" t="s">
        <v>140</v>
      </c>
      <c r="D35" s="201"/>
      <c r="E35" s="201"/>
      <c r="F35" s="201"/>
      <c r="G35" s="200" t="s">
        <v>141</v>
      </c>
      <c r="H35" s="200" t="s">
        <v>142</v>
      </c>
      <c r="J35" s="23" t="s">
        <v>143</v>
      </c>
      <c r="K35" s="23"/>
    </row>
    <row r="36" spans="1:22" ht="33" x14ac:dyDescent="0.3">
      <c r="B36" s="198"/>
      <c r="C36" s="110" t="s">
        <v>219</v>
      </c>
      <c r="D36" s="110" t="s">
        <v>144</v>
      </c>
      <c r="E36" s="110" t="s">
        <v>145</v>
      </c>
      <c r="F36" s="111" t="s">
        <v>146</v>
      </c>
      <c r="G36" s="200"/>
      <c r="H36" s="201"/>
      <c r="J36" s="112">
        <v>27154.285714285714</v>
      </c>
      <c r="K36" s="23" t="s">
        <v>147</v>
      </c>
      <c r="M36" s="113"/>
      <c r="N36" s="114"/>
    </row>
    <row r="37" spans="1:22" x14ac:dyDescent="0.3">
      <c r="B37" s="126" t="s">
        <v>148</v>
      </c>
      <c r="C37" s="115">
        <v>26</v>
      </c>
      <c r="D37" s="116">
        <f>E37/43560</f>
        <v>16.207792207792206</v>
      </c>
      <c r="E37" s="117">
        <f>C37*$J$36</f>
        <v>706011.42857142852</v>
      </c>
      <c r="F37" s="118">
        <f>E37/$J$37</f>
        <v>2.1666695163477434</v>
      </c>
      <c r="G37" s="119">
        <f>F37-F37</f>
        <v>0</v>
      </c>
      <c r="H37" s="120">
        <v>0</v>
      </c>
      <c r="J37" s="23">
        <v>325851</v>
      </c>
      <c r="K37" s="23" t="s">
        <v>149</v>
      </c>
    </row>
    <row r="38" spans="1:22" x14ac:dyDescent="0.3">
      <c r="B38" s="125" t="s">
        <v>150</v>
      </c>
      <c r="C38" s="115">
        <v>9</v>
      </c>
      <c r="D38" s="116">
        <f>E38/43560</f>
        <v>5.6103896103896105</v>
      </c>
      <c r="E38" s="117">
        <f t="shared" ref="E38:E39" si="0">C38*$J$36</f>
        <v>244388.57142857142</v>
      </c>
      <c r="F38" s="118">
        <f t="shared" ref="F38:F39" si="1">E38/$J$37</f>
        <v>0.75000098642806501</v>
      </c>
      <c r="G38" s="119">
        <f>F37-F38</f>
        <v>1.4166685299196784</v>
      </c>
      <c r="H38" s="120">
        <v>0.64</v>
      </c>
      <c r="J38" s="23">
        <v>43560</v>
      </c>
      <c r="K38" s="23" t="s">
        <v>151</v>
      </c>
    </row>
    <row r="39" spans="1:22" x14ac:dyDescent="0.3">
      <c r="B39" s="124" t="s">
        <v>152</v>
      </c>
      <c r="C39" s="115">
        <v>7</v>
      </c>
      <c r="D39" s="116">
        <f>E39/43560</f>
        <v>4.3636363636363633</v>
      </c>
      <c r="E39" s="117">
        <f t="shared" si="0"/>
        <v>190080</v>
      </c>
      <c r="F39" s="118">
        <f t="shared" si="1"/>
        <v>0.58333410055516166</v>
      </c>
      <c r="G39" s="119">
        <f>F37-F39</f>
        <v>1.5833354157925816</v>
      </c>
      <c r="H39" s="120">
        <v>0.72</v>
      </c>
    </row>
    <row r="40" spans="1:22" x14ac:dyDescent="0.3">
      <c r="J40" s="99"/>
      <c r="O40" s="121"/>
      <c r="P40" s="121"/>
      <c r="Q40" s="121"/>
      <c r="R40" s="121"/>
      <c r="S40" s="121"/>
      <c r="T40" s="114"/>
      <c r="U40" s="121"/>
      <c r="V40" s="122"/>
    </row>
    <row r="41" spans="1:22" x14ac:dyDescent="0.3">
      <c r="J41" s="6"/>
      <c r="K41" s="6"/>
      <c r="L41" s="121"/>
      <c r="M41" s="121"/>
      <c r="N41" s="121"/>
    </row>
  </sheetData>
  <mergeCells count="6">
    <mergeCell ref="B35:B36"/>
    <mergeCell ref="C35:F35"/>
    <mergeCell ref="G35:G36"/>
    <mergeCell ref="H35:H36"/>
    <mergeCell ref="D13:K13"/>
    <mergeCell ref="D16:K16"/>
  </mergeCells>
  <conditionalFormatting sqref="L13:L14">
    <cfRule type="duplicateValues" dxfId="0"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A244-F987-47C9-B3B8-630B94B023C0}">
  <dimension ref="A7:W43"/>
  <sheetViews>
    <sheetView workbookViewId="0">
      <selection activeCell="B11" sqref="A2:B11"/>
    </sheetView>
  </sheetViews>
  <sheetFormatPr defaultColWidth="8.85546875" defaultRowHeight="16.5" x14ac:dyDescent="0.3"/>
  <cols>
    <col min="1" max="1" width="32.7109375" style="2" customWidth="1"/>
    <col min="2" max="2" width="12.7109375" style="2" customWidth="1"/>
    <col min="3" max="4" width="12.42578125" style="2" customWidth="1"/>
    <col min="5" max="5" width="12" style="2" customWidth="1"/>
    <col min="6" max="6" width="4.140625" style="127" customWidth="1"/>
    <col min="7" max="7" width="8.85546875" style="2"/>
    <col min="8" max="8" width="29.140625" style="2" customWidth="1"/>
    <col min="9" max="9" width="8.85546875" style="2"/>
    <col min="10" max="13" width="14.42578125" style="2" customWidth="1"/>
    <col min="14" max="14" width="6" style="2" customWidth="1"/>
    <col min="15" max="15" width="15.28515625" style="2" customWidth="1"/>
    <col min="16" max="16" width="0" style="2" hidden="1" customWidth="1"/>
    <col min="17" max="17" width="8.85546875" style="2"/>
    <col min="18" max="18" width="11.42578125" style="2" bestFit="1" customWidth="1"/>
    <col min="19" max="22" width="8.85546875" style="2"/>
    <col min="23" max="23" width="11" style="2" bestFit="1" customWidth="1"/>
    <col min="24" max="16384" width="8.85546875" style="2"/>
  </cols>
  <sheetData>
    <row r="7" spans="1:16" ht="18" x14ac:dyDescent="0.35">
      <c r="A7" s="10" t="s">
        <v>153</v>
      </c>
      <c r="F7" s="2"/>
    </row>
    <row r="8" spans="1:16" ht="18" x14ac:dyDescent="0.35">
      <c r="A8" s="10"/>
    </row>
    <row r="9" spans="1:16" ht="21" x14ac:dyDescent="0.4">
      <c r="A9" s="92" t="s">
        <v>38</v>
      </c>
      <c r="B9" s="93"/>
      <c r="C9" s="93"/>
      <c r="G9" s="92" t="s">
        <v>40</v>
      </c>
      <c r="H9" s="93"/>
      <c r="I9" s="93"/>
      <c r="J9" s="93"/>
      <c r="K9" s="93"/>
    </row>
    <row r="10" spans="1:16" ht="17.25" thickBot="1" x14ac:dyDescent="0.35">
      <c r="A10" s="128"/>
      <c r="B10" s="33"/>
      <c r="C10" s="33"/>
      <c r="D10" s="33"/>
      <c r="E10" s="33"/>
      <c r="G10" s="97"/>
      <c r="H10" s="33"/>
      <c r="I10" s="33"/>
      <c r="J10" s="33"/>
      <c r="K10" s="33"/>
      <c r="L10" s="33"/>
      <c r="M10" s="33"/>
      <c r="N10" s="33"/>
      <c r="O10" s="33"/>
      <c r="P10" s="33"/>
    </row>
    <row r="11" spans="1:16" x14ac:dyDescent="0.3">
      <c r="H11" s="99"/>
    </row>
    <row r="12" spans="1:16" ht="34.5" customHeight="1" x14ac:dyDescent="0.3">
      <c r="B12" s="20"/>
      <c r="C12" s="129"/>
      <c r="J12" s="150" t="s">
        <v>154</v>
      </c>
      <c r="K12" s="151" t="s">
        <v>155</v>
      </c>
      <c r="L12" s="153" t="s">
        <v>156</v>
      </c>
      <c r="M12" s="152" t="s">
        <v>157</v>
      </c>
      <c r="O12" s="130" t="s">
        <v>158</v>
      </c>
    </row>
    <row r="13" spans="1:16" x14ac:dyDescent="0.3">
      <c r="A13" s="2" t="s">
        <v>159</v>
      </c>
      <c r="B13" s="101">
        <v>4000</v>
      </c>
      <c r="C13" s="129" t="s">
        <v>160</v>
      </c>
      <c r="E13" s="131"/>
      <c r="H13" s="99" t="s">
        <v>161</v>
      </c>
      <c r="J13" s="132">
        <f>'dashboard and results'!F19</f>
        <v>0.90322580645161288</v>
      </c>
      <c r="K13" s="132">
        <f>'dashboard and results'!G19</f>
        <v>4.0322580645161289E-2</v>
      </c>
      <c r="L13" s="132">
        <f>'dashboard and results'!H19*0.5</f>
        <v>2.8225806451612902E-2</v>
      </c>
      <c r="M13" s="132">
        <f>L13</f>
        <v>2.8225806451612902E-2</v>
      </c>
      <c r="O13" s="133">
        <f>SUM(J13:N13)</f>
        <v>0.99999999999999989</v>
      </c>
    </row>
    <row r="14" spans="1:16" x14ac:dyDescent="0.3">
      <c r="B14" s="101">
        <v>750</v>
      </c>
      <c r="C14" s="129" t="s">
        <v>162</v>
      </c>
    </row>
    <row r="15" spans="1:16" x14ac:dyDescent="0.3">
      <c r="B15" s="101">
        <v>500</v>
      </c>
      <c r="C15" s="129" t="s">
        <v>163</v>
      </c>
      <c r="H15" s="99" t="s">
        <v>164</v>
      </c>
    </row>
    <row r="16" spans="1:16" ht="15.75" customHeight="1" x14ac:dyDescent="0.3">
      <c r="B16" s="134">
        <v>120</v>
      </c>
      <c r="C16" s="129" t="s">
        <v>165</v>
      </c>
      <c r="H16" s="135" t="s">
        <v>166</v>
      </c>
      <c r="J16" s="107">
        <v>0.71287033009521039</v>
      </c>
      <c r="K16" s="107">
        <v>0.71287033009521039</v>
      </c>
      <c r="L16" s="107">
        <v>0.72</v>
      </c>
      <c r="M16" s="107">
        <v>0.72</v>
      </c>
      <c r="O16" s="136">
        <f t="shared" ref="O16:O21" si="0">SUMPRODUCT($J$13:$M$13,J16:M16)</f>
        <v>0.71327281146080324</v>
      </c>
    </row>
    <row r="17" spans="1:23" x14ac:dyDescent="0.3">
      <c r="B17" s="21">
        <f>SUM(B13:B16)</f>
        <v>5370</v>
      </c>
      <c r="C17" s="2" t="s">
        <v>167</v>
      </c>
      <c r="H17" s="137" t="s">
        <v>168</v>
      </c>
      <c r="J17" s="107">
        <v>0.19385776961534534</v>
      </c>
      <c r="K17" s="107">
        <v>0.19385776961534534</v>
      </c>
      <c r="L17" s="107">
        <f>J17</f>
        <v>0.19385776961534534</v>
      </c>
      <c r="M17" s="107">
        <v>0.25</v>
      </c>
      <c r="O17" s="136">
        <f t="shared" si="0"/>
        <v>0.19544242934394446</v>
      </c>
    </row>
    <row r="18" spans="1:23" x14ac:dyDescent="0.3">
      <c r="B18" s="136">
        <f>B17/43560</f>
        <v>0.12327823691460055</v>
      </c>
      <c r="C18" s="2" t="s">
        <v>169</v>
      </c>
      <c r="H18" s="137" t="s">
        <v>170</v>
      </c>
      <c r="J18" s="107">
        <v>1.6</v>
      </c>
      <c r="K18" s="107">
        <v>1.6</v>
      </c>
      <c r="L18" s="107">
        <f>J18</f>
        <v>1.6</v>
      </c>
      <c r="M18" s="107">
        <v>0.5</v>
      </c>
      <c r="O18" s="136">
        <f t="shared" si="0"/>
        <v>1.5689516129032259</v>
      </c>
      <c r="W18" s="136"/>
    </row>
    <row r="19" spans="1:23" ht="17.25" thickBot="1" x14ac:dyDescent="0.35">
      <c r="A19" s="138"/>
      <c r="B19" s="33"/>
      <c r="C19" s="33"/>
      <c r="D19" s="33"/>
      <c r="E19" s="33"/>
      <c r="H19" s="137" t="s">
        <v>165</v>
      </c>
      <c r="I19" s="24"/>
      <c r="J19" s="107">
        <v>0.8</v>
      </c>
      <c r="K19" s="107">
        <v>5.2861340679522497</v>
      </c>
      <c r="L19" s="107">
        <v>0</v>
      </c>
      <c r="M19" s="107">
        <v>0</v>
      </c>
      <c r="O19" s="136">
        <f t="shared" si="0"/>
        <v>0.93573121241742951</v>
      </c>
    </row>
    <row r="20" spans="1:23" x14ac:dyDescent="0.3">
      <c r="H20" s="137" t="s">
        <v>171</v>
      </c>
      <c r="I20" s="24"/>
      <c r="J20" s="139">
        <v>1.115312120096809E-2</v>
      </c>
      <c r="K20" s="139">
        <v>1.115312120096809E-2</v>
      </c>
      <c r="L20" s="139">
        <f>J20</f>
        <v>1.115312120096809E-2</v>
      </c>
      <c r="M20" s="139">
        <v>0</v>
      </c>
      <c r="O20" s="140">
        <f t="shared" si="0"/>
        <v>1.0838315360618184E-2</v>
      </c>
    </row>
    <row r="21" spans="1:23" x14ac:dyDescent="0.3">
      <c r="H21" s="137" t="s">
        <v>172</v>
      </c>
      <c r="I21" s="24"/>
      <c r="J21" s="136">
        <f>SUM(J16:J20)</f>
        <v>3.317881220911524</v>
      </c>
      <c r="K21" s="136">
        <f>SUM(K16:K20)</f>
        <v>7.8040152888637735</v>
      </c>
      <c r="L21" s="136">
        <f>SUM(L16:L20)</f>
        <v>2.5250108908163136</v>
      </c>
      <c r="M21" s="136">
        <f>SUM(M16:M20)</f>
        <v>1.47</v>
      </c>
      <c r="O21" s="136">
        <f t="shared" si="0"/>
        <v>3.4242363814860215</v>
      </c>
    </row>
    <row r="22" spans="1:23" x14ac:dyDescent="0.3">
      <c r="I22" s="24"/>
      <c r="O22" s="141">
        <f>O21*(1+M23)</f>
        <v>4.2802954768575265</v>
      </c>
      <c r="Q22" s="2" t="s">
        <v>173</v>
      </c>
    </row>
    <row r="23" spans="1:23" x14ac:dyDescent="0.3">
      <c r="I23" s="24"/>
      <c r="J23" s="131"/>
      <c r="L23" s="137" t="s">
        <v>174</v>
      </c>
      <c r="M23" s="142">
        <v>0.25</v>
      </c>
      <c r="O23" s="136"/>
    </row>
    <row r="25" spans="1:23" x14ac:dyDescent="0.3">
      <c r="B25" s="143"/>
      <c r="C25" s="129"/>
    </row>
    <row r="26" spans="1:23" ht="49.5" x14ac:dyDescent="0.3">
      <c r="B26" s="144"/>
      <c r="J26" s="150" t="str">
        <f>J12</f>
        <v>Native grass, irrigated</v>
      </c>
      <c r="K26" s="151" t="str">
        <f t="shared" ref="K26:M26" si="1">K12</f>
        <v>Regional plants (low water use)</v>
      </c>
      <c r="L26" s="153" t="str">
        <f t="shared" si="1"/>
        <v>Non-irrigated native grass</v>
      </c>
      <c r="M26" s="152" t="str">
        <f t="shared" si="1"/>
        <v>Non-irrigated hardscape</v>
      </c>
      <c r="O26" s="130" t="s">
        <v>158</v>
      </c>
    </row>
    <row r="27" spans="1:23" x14ac:dyDescent="0.3">
      <c r="H27" s="145" t="s">
        <v>175</v>
      </c>
      <c r="I27" s="24"/>
    </row>
    <row r="28" spans="1:23" x14ac:dyDescent="0.3">
      <c r="H28" s="2" t="s">
        <v>176</v>
      </c>
      <c r="J28" s="101">
        <v>2200</v>
      </c>
      <c r="K28" s="101">
        <v>2789</v>
      </c>
      <c r="L28" s="101">
        <v>1200</v>
      </c>
      <c r="M28" s="105">
        <v>500</v>
      </c>
      <c r="O28" s="21">
        <f>SUMPRODUCT($J$13:$M$13,J28:M28)</f>
        <v>2147.5403225806449</v>
      </c>
    </row>
    <row r="29" spans="1:23" x14ac:dyDescent="0.3">
      <c r="H29" s="2" t="s">
        <v>177</v>
      </c>
      <c r="J29" s="101">
        <v>2200</v>
      </c>
      <c r="K29" s="101">
        <v>2789</v>
      </c>
      <c r="L29" s="101">
        <v>1200</v>
      </c>
      <c r="M29" s="105">
        <v>500</v>
      </c>
      <c r="O29" s="21">
        <f t="shared" ref="O29:O31" si="2">SUMPRODUCT($J$13:$M$13,J29:M29)</f>
        <v>2147.5403225806449</v>
      </c>
    </row>
    <row r="30" spans="1:23" x14ac:dyDescent="0.3">
      <c r="H30" s="2" t="s">
        <v>178</v>
      </c>
      <c r="J30" s="101">
        <v>2200</v>
      </c>
      <c r="K30" s="101">
        <v>2789</v>
      </c>
      <c r="L30" s="101">
        <v>1200</v>
      </c>
      <c r="M30" s="105">
        <v>500</v>
      </c>
      <c r="O30" s="21">
        <f t="shared" si="2"/>
        <v>2147.5403225806449</v>
      </c>
    </row>
    <row r="31" spans="1:23" x14ac:dyDescent="0.3">
      <c r="H31" s="2" t="s">
        <v>179</v>
      </c>
      <c r="J31" s="101">
        <v>1000</v>
      </c>
      <c r="K31" s="101">
        <f>J31</f>
        <v>1000</v>
      </c>
      <c r="L31" s="101">
        <v>1000</v>
      </c>
      <c r="M31" s="105">
        <v>0</v>
      </c>
      <c r="O31" s="21">
        <f t="shared" si="2"/>
        <v>971.77419354838719</v>
      </c>
    </row>
    <row r="32" spans="1:23" x14ac:dyDescent="0.3">
      <c r="H32" s="146" t="s">
        <v>180</v>
      </c>
      <c r="J32" s="24"/>
      <c r="K32" s="105"/>
      <c r="L32" s="24"/>
      <c r="M32" s="24"/>
      <c r="O32" s="22"/>
    </row>
    <row r="33" spans="7:17" x14ac:dyDescent="0.3">
      <c r="H33" s="2" t="s">
        <v>176</v>
      </c>
      <c r="J33" s="136">
        <f t="shared" ref="J33:M36" si="3">J28/43560</f>
        <v>5.0505050505050504E-2</v>
      </c>
      <c r="K33" s="136">
        <f t="shared" si="3"/>
        <v>6.402662993572085E-2</v>
      </c>
      <c r="L33" s="136">
        <f t="shared" si="3"/>
        <v>2.7548209366391185E-2</v>
      </c>
      <c r="M33" s="136">
        <f t="shared" si="3"/>
        <v>1.1478420569329659E-2</v>
      </c>
      <c r="O33" s="136">
        <f>SUMPRODUCT($J$13:$M$13,J33:M33)</f>
        <v>4.9300742024349059E-2</v>
      </c>
    </row>
    <row r="34" spans="7:17" x14ac:dyDescent="0.3">
      <c r="H34" s="2" t="s">
        <v>177</v>
      </c>
      <c r="J34" s="136">
        <f t="shared" si="3"/>
        <v>5.0505050505050504E-2</v>
      </c>
      <c r="K34" s="136">
        <f t="shared" si="3"/>
        <v>6.402662993572085E-2</v>
      </c>
      <c r="L34" s="136">
        <f t="shared" si="3"/>
        <v>2.7548209366391185E-2</v>
      </c>
      <c r="M34" s="136">
        <f t="shared" si="3"/>
        <v>1.1478420569329659E-2</v>
      </c>
      <c r="O34" s="136">
        <f t="shared" ref="O34:O36" si="4">SUMPRODUCT($J$13:$M$13,J34:M34)</f>
        <v>4.9300742024349059E-2</v>
      </c>
    </row>
    <row r="35" spans="7:17" x14ac:dyDescent="0.3">
      <c r="H35" s="2" t="s">
        <v>178</v>
      </c>
      <c r="J35" s="136">
        <f t="shared" si="3"/>
        <v>5.0505050505050504E-2</v>
      </c>
      <c r="K35" s="136">
        <f t="shared" si="3"/>
        <v>6.402662993572085E-2</v>
      </c>
      <c r="L35" s="136">
        <f t="shared" si="3"/>
        <v>2.7548209366391185E-2</v>
      </c>
      <c r="M35" s="136">
        <f t="shared" si="3"/>
        <v>1.1478420569329659E-2</v>
      </c>
      <c r="O35" s="136">
        <f t="shared" si="4"/>
        <v>4.9300742024349059E-2</v>
      </c>
    </row>
    <row r="36" spans="7:17" x14ac:dyDescent="0.3">
      <c r="H36" s="2" t="s">
        <v>179</v>
      </c>
      <c r="J36" s="140">
        <f t="shared" si="3"/>
        <v>2.2956841138659319E-2</v>
      </c>
      <c r="K36" s="140">
        <f t="shared" si="3"/>
        <v>2.2956841138659319E-2</v>
      </c>
      <c r="L36" s="140">
        <f t="shared" si="3"/>
        <v>2.2956841138659319E-2</v>
      </c>
      <c r="M36" s="140">
        <f t="shared" si="3"/>
        <v>0</v>
      </c>
      <c r="O36" s="136">
        <f t="shared" si="4"/>
        <v>2.2308865783939095E-2</v>
      </c>
    </row>
    <row r="37" spans="7:17" x14ac:dyDescent="0.3">
      <c r="J37" s="136">
        <f>SUM(J33:J36)</f>
        <v>0.17447199265381083</v>
      </c>
      <c r="K37" s="102">
        <f>SUM(K33:K36)</f>
        <v>0.21503673094582187</v>
      </c>
      <c r="L37" s="136">
        <f>SUM(L33:L36)</f>
        <v>0.10560146923783287</v>
      </c>
      <c r="M37" s="136">
        <f>SUM(M33:M36)</f>
        <v>3.4435261707988982E-2</v>
      </c>
      <c r="O37" s="22"/>
    </row>
    <row r="39" spans="7:17" x14ac:dyDescent="0.3">
      <c r="H39" s="99" t="s">
        <v>181</v>
      </c>
      <c r="P39" s="19" t="s">
        <v>182</v>
      </c>
    </row>
    <row r="40" spans="7:17" x14ac:dyDescent="0.3">
      <c r="H40" s="2" t="s">
        <v>183</v>
      </c>
      <c r="I40" s="20"/>
      <c r="J40" s="147">
        <v>1</v>
      </c>
      <c r="K40" s="147">
        <v>1.5</v>
      </c>
      <c r="L40" s="147">
        <v>0</v>
      </c>
      <c r="M40" s="147">
        <v>0</v>
      </c>
      <c r="N40" s="129"/>
      <c r="O40" s="22">
        <f>SUMPRODUCT($J$13:$M$13,J40:M40)</f>
        <v>0.96370967741935476</v>
      </c>
      <c r="P40" s="148">
        <f>(J40*$J$13+$K$13*K40)*325.9</f>
        <v>314.07298387096768</v>
      </c>
    </row>
    <row r="41" spans="7:17" x14ac:dyDescent="0.3">
      <c r="H41" s="2" t="s">
        <v>184</v>
      </c>
      <c r="I41" s="20"/>
      <c r="J41" s="147">
        <v>0.7</v>
      </c>
      <c r="K41" s="147">
        <v>1</v>
      </c>
      <c r="L41" s="147">
        <v>0</v>
      </c>
      <c r="M41" s="147">
        <v>0</v>
      </c>
      <c r="N41" s="129"/>
      <c r="O41" s="22">
        <f>SUMPRODUCT($J$13:$M$13,J41:M41)</f>
        <v>0.67258064516129024</v>
      </c>
      <c r="P41" s="148">
        <f>(J41*$J$13+$K$13*K41)*325.9</f>
        <v>219.19403225806448</v>
      </c>
    </row>
    <row r="42" spans="7:17" x14ac:dyDescent="0.3">
      <c r="H42" s="2" t="s">
        <v>185</v>
      </c>
      <c r="I42" s="20"/>
      <c r="J42" s="149">
        <f>'water provider assumptions'!F38</f>
        <v>0.75000098642806501</v>
      </c>
      <c r="K42" s="149">
        <f>'water provider assumptions'!F39</f>
        <v>0.58333410055516166</v>
      </c>
      <c r="L42" s="149">
        <v>0</v>
      </c>
      <c r="M42" s="149">
        <v>0</v>
      </c>
      <c r="N42" s="129"/>
      <c r="O42" s="22">
        <f>SUMPRODUCT($J$13:$M$13,J42:M42)</f>
        <v>0.70094178211870228</v>
      </c>
      <c r="P42" s="148">
        <f>(J42*$J$13+$K$13*K42)*325.9</f>
        <v>228.43692679248505</v>
      </c>
      <c r="Q42" s="148"/>
    </row>
    <row r="43" spans="7:17" ht="17.25" thickBot="1" x14ac:dyDescent="0.35">
      <c r="G43" s="33"/>
      <c r="H43" s="33"/>
      <c r="I43" s="33"/>
      <c r="J43" s="33"/>
      <c r="K43" s="33"/>
      <c r="L43" s="33"/>
      <c r="M43" s="33"/>
      <c r="N43" s="33"/>
      <c r="O43"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D4E0-9DD2-470E-B6AA-459BACC42F5F}">
  <dimension ref="A8:T45"/>
  <sheetViews>
    <sheetView workbookViewId="0">
      <selection activeCell="Y12" sqref="Y12"/>
    </sheetView>
  </sheetViews>
  <sheetFormatPr defaultColWidth="8.85546875" defaultRowHeight="16.5" x14ac:dyDescent="0.3"/>
  <cols>
    <col min="1" max="1" width="3.140625" style="154" customWidth="1"/>
    <col min="2" max="2" width="8.85546875" style="2"/>
    <col min="3" max="3" width="4.42578125" style="2" customWidth="1"/>
    <col min="4" max="4" width="9.140625" style="22"/>
    <col min="5" max="5" width="13.140625" style="22" customWidth="1"/>
    <col min="6" max="6" width="4.42578125" style="2" customWidth="1"/>
    <col min="7" max="7" width="12.140625" style="155" customWidth="1"/>
    <col min="8" max="8" width="14.28515625" style="155" customWidth="1"/>
    <col min="9" max="9" width="15.42578125" style="155" customWidth="1"/>
    <col min="10" max="10" width="12.140625" style="22" customWidth="1"/>
    <col min="11" max="11" width="5.42578125" style="2" customWidth="1"/>
    <col min="12" max="12" width="13.140625" style="21" customWidth="1"/>
    <col min="13" max="13" width="13.28515625" style="21" customWidth="1"/>
    <col min="14" max="14" width="15.140625" style="2" customWidth="1"/>
    <col min="15" max="15" width="5.7109375" style="2" customWidth="1"/>
    <col min="16" max="17" width="15" style="2" customWidth="1"/>
    <col min="18" max="18" width="12.42578125" style="2" customWidth="1"/>
    <col min="19" max="19" width="13.7109375" style="156" customWidth="1"/>
    <col min="20" max="20" width="15.85546875" style="2" customWidth="1"/>
    <col min="21" max="16384" width="8.85546875" style="2"/>
  </cols>
  <sheetData>
    <row r="8" spans="1:20" x14ac:dyDescent="0.3">
      <c r="A8" s="19" t="s">
        <v>186</v>
      </c>
      <c r="D8" s="191"/>
      <c r="E8" s="191"/>
    </row>
    <row r="9" spans="1:20" ht="17.25" thickBot="1" x14ac:dyDescent="0.35">
      <c r="A9" s="157"/>
      <c r="B9" s="33"/>
      <c r="C9" s="33"/>
      <c r="D9" s="158"/>
      <c r="E9" s="158"/>
      <c r="F9" s="33"/>
      <c r="G9" s="159"/>
      <c r="H9" s="159"/>
      <c r="I9" s="159"/>
      <c r="J9" s="158"/>
      <c r="K9" s="33"/>
      <c r="L9" s="160"/>
      <c r="M9" s="160"/>
      <c r="N9" s="33"/>
      <c r="O9" s="33"/>
      <c r="P9" s="33"/>
      <c r="Q9" s="33"/>
      <c r="R9" s="33"/>
      <c r="S9" s="161"/>
      <c r="T9" s="33"/>
    </row>
    <row r="11" spans="1:20" x14ac:dyDescent="0.3">
      <c r="K11" s="99"/>
      <c r="L11" s="204" t="s">
        <v>187</v>
      </c>
      <c r="M11" s="204"/>
      <c r="N11" s="204"/>
      <c r="P11" s="205" t="s">
        <v>188</v>
      </c>
      <c r="Q11" s="205"/>
      <c r="R11" s="205"/>
      <c r="S11" s="205"/>
      <c r="T11" s="205"/>
    </row>
    <row r="12" spans="1:20" s="6" customFormat="1" ht="132" x14ac:dyDescent="0.3">
      <c r="A12" s="162"/>
      <c r="D12" s="172" t="s">
        <v>52</v>
      </c>
      <c r="E12" s="172" t="s">
        <v>189</v>
      </c>
      <c r="G12" s="173" t="s">
        <v>190</v>
      </c>
      <c r="H12" s="173" t="s">
        <v>191</v>
      </c>
      <c r="I12" s="173" t="s">
        <v>192</v>
      </c>
      <c r="J12" s="172" t="s">
        <v>193</v>
      </c>
      <c r="K12" s="75"/>
      <c r="L12" s="174" t="s">
        <v>194</v>
      </c>
      <c r="M12" s="174" t="s">
        <v>195</v>
      </c>
      <c r="N12" s="75" t="s">
        <v>196</v>
      </c>
      <c r="O12" s="164"/>
      <c r="P12" s="75" t="s">
        <v>197</v>
      </c>
      <c r="Q12" s="175" t="s">
        <v>198</v>
      </c>
      <c r="R12" s="75" t="s">
        <v>199</v>
      </c>
      <c r="S12" s="176" t="s">
        <v>200</v>
      </c>
      <c r="T12" s="75" t="s">
        <v>56</v>
      </c>
    </row>
    <row r="13" spans="1:20" x14ac:dyDescent="0.3">
      <c r="A13" s="177">
        <v>0</v>
      </c>
      <c r="B13" s="48">
        <v>2022</v>
      </c>
      <c r="C13" s="48"/>
      <c r="D13" s="64">
        <f>'provider community calcs'!D13</f>
        <v>20</v>
      </c>
      <c r="E13" s="64">
        <f>D13</f>
        <v>20</v>
      </c>
      <c r="F13" s="48"/>
      <c r="G13" s="64">
        <f>('provider community calcs'!D13*'dashboard and results'!$D$28)*(1+'dashboard and results'!$D$27)^A13</f>
        <v>43.33339032695487</v>
      </c>
      <c r="H13" s="64">
        <f>'revised water usage matrix'!D41</f>
        <v>19.274193548387096</v>
      </c>
      <c r="I13" s="64">
        <f>H13*(1+'dashboard and results'!$D$27)^A13</f>
        <v>19.274193548387096</v>
      </c>
      <c r="J13" s="64">
        <f>G13-I13</f>
        <v>24.059196778567774</v>
      </c>
      <c r="K13" s="178"/>
      <c r="L13" s="77">
        <f>G13*325.9*('water provider assumptions'!$C$22*(1+'water provider assumptions'!$C$23)^(A13-$A$13))</f>
        <v>49428.231676441072</v>
      </c>
      <c r="M13" s="77">
        <f>E13*'O&amp;M assumptions'!$B$17</f>
        <v>107400</v>
      </c>
      <c r="N13" s="179">
        <f t="shared" ref="N13:N42" si="0">SUM(L13:M13)</f>
        <v>156828.23167644106</v>
      </c>
      <c r="O13" s="179"/>
      <c r="P13" s="77">
        <f>D13*'O&amp;M assumptions'!$O$22*43560</f>
        <v>3728993.4194382769</v>
      </c>
      <c r="Q13" s="77">
        <f>IF('dashboard and results'!$D$30&gt;0,'dashboard and results'!$D$30*D13*43560*-1,0)</f>
        <v>-871200</v>
      </c>
      <c r="R13" s="77">
        <f>I13*325.9*('water provider assumptions'!$C$22*(1+'water provider assumptions'!$C$23)^(A13-$A$13))</f>
        <v>21985.108870967739</v>
      </c>
      <c r="S13" s="82">
        <f>'O&amp;M cost matrix'!D42</f>
        <v>42950.806451612894</v>
      </c>
      <c r="T13" s="179">
        <f t="shared" ref="T13:T42" si="1">SUM(P13:S13)</f>
        <v>2922729.3347608577</v>
      </c>
    </row>
    <row r="14" spans="1:20" x14ac:dyDescent="0.3">
      <c r="A14" s="177">
        <f>A13+1</f>
        <v>1</v>
      </c>
      <c r="B14" s="48">
        <f>B13+1</f>
        <v>2023</v>
      </c>
      <c r="C14" s="48"/>
      <c r="D14" s="64">
        <f>'provider community calcs'!D14-'provider community calcs'!D13</f>
        <v>25</v>
      </c>
      <c r="E14" s="64">
        <f>E13+D14</f>
        <v>45</v>
      </c>
      <c r="F14" s="48"/>
      <c r="G14" s="64">
        <f>('provider community calcs'!D14*'dashboard and results'!$D$28)*(1+'dashboard and results'!$D$27)^A14</f>
        <v>97.646378428001924</v>
      </c>
      <c r="H14" s="64">
        <f>'revised water usage matrix'!E41</f>
        <v>37.544354838709673</v>
      </c>
      <c r="I14" s="64">
        <f>H14*(1+'dashboard and results'!$D$27)^A14</f>
        <v>37.600671370967738</v>
      </c>
      <c r="J14" s="64">
        <f t="shared" ref="J14:J42" si="2">G14-I14</f>
        <v>60.045707057034186</v>
      </c>
      <c r="K14" s="178"/>
      <c r="L14" s="77">
        <f>G14*325.9*('water provider assumptions'!$C$22*(1+'water provider assumptions'!$C$23)^(A14-$A$13))</f>
        <v>113607.9483849784</v>
      </c>
      <c r="M14" s="77">
        <f>E14*'O&amp;M assumptions'!$B$17</f>
        <v>241650</v>
      </c>
      <c r="N14" s="179">
        <f t="shared" si="0"/>
        <v>355257.9483849784</v>
      </c>
      <c r="O14" s="179"/>
      <c r="P14" s="77">
        <f>D14*'O&amp;M assumptions'!$O$22*43560</f>
        <v>4661241.7742978465</v>
      </c>
      <c r="Q14" s="77">
        <f>IF('dashboard and results'!$D$30&gt;0,'dashboard and results'!$D$30*D14*43560*-1,0)</f>
        <v>-1089000</v>
      </c>
      <c r="R14" s="77">
        <f>I14*325.9*('water provider assumptions'!$C$22*(1+'water provider assumptions'!$C$23)^(A14-$A$13))</f>
        <v>43746.989915280239</v>
      </c>
      <c r="S14" s="82">
        <f>'O&amp;M cost matrix'!E42</f>
        <v>96639.314516129016</v>
      </c>
      <c r="T14" s="179">
        <f t="shared" si="1"/>
        <v>3712628.0787292556</v>
      </c>
    </row>
    <row r="15" spans="1:20" x14ac:dyDescent="0.3">
      <c r="A15" s="177">
        <f t="shared" ref="A15:B30" si="3">A14+1</f>
        <v>2</v>
      </c>
      <c r="B15" s="48">
        <f t="shared" si="3"/>
        <v>2024</v>
      </c>
      <c r="C15" s="48"/>
      <c r="D15" s="64">
        <f>'provider community calcs'!D15-'provider community calcs'!D14</f>
        <v>25</v>
      </c>
      <c r="E15" s="64">
        <f t="shared" ref="E15:E42" si="4">E14+D15</f>
        <v>70</v>
      </c>
      <c r="F15" s="48"/>
      <c r="G15" s="64">
        <f>('provider community calcs'!D15*'dashboard and results'!$D$28)*(1+'dashboard and results'!$D$27)^A15</f>
        <v>152.12220799322392</v>
      </c>
      <c r="H15" s="64">
        <f>'revised water usage matrix'!F41</f>
        <v>54.926093706890171</v>
      </c>
      <c r="I15" s="64">
        <f>H15*(1+'dashboard and results'!$D$27)^A15</f>
        <v>55.090995571721692</v>
      </c>
      <c r="J15" s="64">
        <f t="shared" si="2"/>
        <v>97.031212421502232</v>
      </c>
      <c r="K15" s="178"/>
      <c r="L15" s="77">
        <f>G15*325.9*('water provider assumptions'!$C$22*(1+'water provider assumptions'!$C$23)^(A15-$A$13))</f>
        <v>180528.33168798866</v>
      </c>
      <c r="M15" s="77">
        <f>E15*'O&amp;M assumptions'!$B$17</f>
        <v>375900</v>
      </c>
      <c r="N15" s="179">
        <f t="shared" si="0"/>
        <v>556428.33168798871</v>
      </c>
      <c r="O15" s="179"/>
      <c r="P15" s="77">
        <f>D15*'O&amp;M assumptions'!$O$22*43560</f>
        <v>4661241.7742978465</v>
      </c>
      <c r="Q15" s="77">
        <f>IF('dashboard and results'!$D$30&gt;0,'dashboard and results'!$D$30*D15*43560*-1,0)</f>
        <v>-1089000</v>
      </c>
      <c r="R15" s="77">
        <f>I15*325.9*('water provider assumptions'!$C$22*(1+'water provider assumptions'!$C$23)^(A15-$A$13))</f>
        <v>65378.261680479271</v>
      </c>
      <c r="S15" s="82">
        <f>'O&amp;M cost matrix'!F42</f>
        <v>150327.82258064515</v>
      </c>
      <c r="T15" s="179">
        <f t="shared" si="1"/>
        <v>3787947.858558971</v>
      </c>
    </row>
    <row r="16" spans="1:20" x14ac:dyDescent="0.3">
      <c r="A16" s="177">
        <f t="shared" si="3"/>
        <v>3</v>
      </c>
      <c r="B16" s="48">
        <f t="shared" si="3"/>
        <v>2025</v>
      </c>
      <c r="C16" s="48"/>
      <c r="D16" s="64">
        <f>'provider community calcs'!D16-'provider community calcs'!D15</f>
        <v>25</v>
      </c>
      <c r="E16" s="64">
        <f t="shared" si="4"/>
        <v>95</v>
      </c>
      <c r="F16" s="48"/>
      <c r="G16" s="64">
        <f>('provider community calcs'!D16*'dashboard and results'!$D$28)*(1+'dashboard and results'!$D$27)^A16</f>
        <v>206.76124534279012</v>
      </c>
      <c r="H16" s="64">
        <f>'revised water usage matrix'!G41</f>
        <v>72.449638259857736</v>
      </c>
      <c r="I16" s="64">
        <f>H16*(1+'dashboard and results'!$D$27)^A16</f>
        <v>72.776150911602898</v>
      </c>
      <c r="J16" s="64">
        <f t="shared" si="2"/>
        <v>133.98509443118724</v>
      </c>
      <c r="K16" s="178"/>
      <c r="L16" s="77">
        <f>G16*325.9*('water provider assumptions'!$C$22*(1+'water provider assumptions'!$C$23)^(A16-$A$13))</f>
        <v>250277.64476538502</v>
      </c>
      <c r="M16" s="77">
        <f>E16*'O&amp;M assumptions'!$B$17</f>
        <v>510150</v>
      </c>
      <c r="N16" s="179">
        <f t="shared" si="0"/>
        <v>760427.64476538496</v>
      </c>
      <c r="O16" s="179"/>
      <c r="P16" s="77">
        <f>D16*'O&amp;M assumptions'!$O$22*43560</f>
        <v>4661241.7742978465</v>
      </c>
      <c r="Q16" s="77">
        <f>IF('dashboard and results'!$D$30&gt;0,'dashboard and results'!$D$30*D16*43560*-1,0)</f>
        <v>-1089000</v>
      </c>
      <c r="R16" s="77">
        <f>I16*325.9*('water provider assumptions'!$C$22*(1+'water provider assumptions'!$C$23)^(A16-$A$13))</f>
        <v>88093.122166336107</v>
      </c>
      <c r="S16" s="82">
        <f>'O&amp;M cost matrix'!G42</f>
        <v>204016.33064516127</v>
      </c>
      <c r="T16" s="179">
        <f t="shared" si="1"/>
        <v>3864351.2271093437</v>
      </c>
    </row>
    <row r="17" spans="1:20" x14ac:dyDescent="0.3">
      <c r="A17" s="177">
        <f t="shared" si="3"/>
        <v>4</v>
      </c>
      <c r="B17" s="48">
        <f t="shared" si="3"/>
        <v>2026</v>
      </c>
      <c r="C17" s="48"/>
      <c r="D17" s="64">
        <f>'provider community calcs'!D17-'provider community calcs'!D16</f>
        <v>25</v>
      </c>
      <c r="E17" s="64">
        <f t="shared" si="4"/>
        <v>120</v>
      </c>
      <c r="F17" s="48"/>
      <c r="G17" s="64">
        <f>('provider community calcs'!D17*'dashboard and results'!$D$28)*(1+'dashboard and results'!$D$27)^A17</f>
        <v>261.56385752943703</v>
      </c>
      <c r="H17" s="64">
        <f>'revised water usage matrix'!H41</f>
        <v>89.973182812825286</v>
      </c>
      <c r="I17" s="64">
        <f>H17*(1+'dashboard and results'!$D$27)^A17</f>
        <v>90.514237762763713</v>
      </c>
      <c r="J17" s="64">
        <f t="shared" si="2"/>
        <v>171.04961976667332</v>
      </c>
      <c r="K17" s="178"/>
      <c r="L17" s="77">
        <f>G17*325.9*('water provider assumptions'!$C$22*(1+'water provider assumptions'!$C$23)^(A17-$A$13))</f>
        <v>322946.68099854799</v>
      </c>
      <c r="M17" s="77">
        <f>E17*'O&amp;M assumptions'!$B$17</f>
        <v>644400</v>
      </c>
      <c r="N17" s="179">
        <f t="shared" si="0"/>
        <v>967346.68099854793</v>
      </c>
      <c r="O17" s="179"/>
      <c r="P17" s="77">
        <f>D17*'O&amp;M assumptions'!$O$22*43560</f>
        <v>4661241.7742978465</v>
      </c>
      <c r="Q17" s="77">
        <f>IF('dashboard and results'!$D$30&gt;0,'dashboard and results'!$D$30*D17*43560*-1,0)</f>
        <v>-1089000</v>
      </c>
      <c r="R17" s="77">
        <f>I17*325.9*('water provider assumptions'!$C$22*(1+'water provider assumptions'!$C$23)^(A17-$A$13))</f>
        <v>111755.77904645415</v>
      </c>
      <c r="S17" s="82">
        <f>'O&amp;M cost matrix'!H42</f>
        <v>257704.83870967739</v>
      </c>
      <c r="T17" s="179">
        <f t="shared" si="1"/>
        <v>3941702.3920539781</v>
      </c>
    </row>
    <row r="18" spans="1:20" x14ac:dyDescent="0.3">
      <c r="A18" s="177">
        <f t="shared" si="3"/>
        <v>5</v>
      </c>
      <c r="B18" s="48">
        <f t="shared" si="3"/>
        <v>2027</v>
      </c>
      <c r="C18" s="48"/>
      <c r="D18" s="64">
        <f>'provider community calcs'!D18-'provider community calcs'!D17</f>
        <v>25</v>
      </c>
      <c r="E18" s="64">
        <f t="shared" si="4"/>
        <v>145</v>
      </c>
      <c r="F18" s="48"/>
      <c r="G18" s="64">
        <f>('provider community calcs'!D18*'dashboard and results'!$D$28)*(1+'dashboard and results'!$D$27)^A18</f>
        <v>316.53041233984192</v>
      </c>
      <c r="H18" s="64">
        <f>'revised water usage matrix'!I41</f>
        <v>107.49672736579285</v>
      </c>
      <c r="I18" s="64">
        <f>H18*(1+'dashboard and results'!$D$27)^A18</f>
        <v>108.30537512813846</v>
      </c>
      <c r="J18" s="64">
        <f t="shared" si="2"/>
        <v>208.22503721170347</v>
      </c>
      <c r="K18" s="178"/>
      <c r="L18" s="77">
        <f>G18*325.9*('water provider assumptions'!$C$22*(1+'water provider assumptions'!$C$23)^(A18-$A$13))</f>
        <v>398628.83200720651</v>
      </c>
      <c r="M18" s="77">
        <f>E18*'O&amp;M assumptions'!$B$17</f>
        <v>778650</v>
      </c>
      <c r="N18" s="179">
        <f t="shared" si="0"/>
        <v>1177278.8320072065</v>
      </c>
      <c r="O18" s="179"/>
      <c r="P18" s="77">
        <f>D18*'O&amp;M assumptions'!$O$22*43560</f>
        <v>4661241.7742978465</v>
      </c>
      <c r="Q18" s="77">
        <f>IF('dashboard and results'!$D$30&gt;0,'dashboard and results'!$D$30*D18*43560*-1,0)</f>
        <v>-1089000</v>
      </c>
      <c r="R18" s="77">
        <f>I18*325.9*('water provider assumptions'!$C$22*(1+'water provider assumptions'!$C$23)^(A18-$A$13))</f>
        <v>136396.51516669727</v>
      </c>
      <c r="S18" s="82">
        <f>'O&amp;M cost matrix'!I42</f>
        <v>311393.34677419352</v>
      </c>
      <c r="T18" s="179">
        <f t="shared" si="1"/>
        <v>4020031.636238737</v>
      </c>
    </row>
    <row r="19" spans="1:20" x14ac:dyDescent="0.3">
      <c r="A19" s="177">
        <f t="shared" si="3"/>
        <v>6</v>
      </c>
      <c r="B19" s="48">
        <f t="shared" si="3"/>
        <v>2028</v>
      </c>
      <c r="C19" s="48"/>
      <c r="D19" s="64">
        <f>'provider community calcs'!D19-'provider community calcs'!D18</f>
        <v>10</v>
      </c>
      <c r="E19" s="64">
        <f t="shared" si="4"/>
        <v>155</v>
      </c>
      <c r="F19" s="48"/>
      <c r="G19" s="64">
        <f>('provider community calcs'!D19*'dashboard and results'!$D$28)*(1+'dashboard and results'!$D$27)^A19</f>
        <v>338.8676360934104</v>
      </c>
      <c r="H19" s="64">
        <f>'revised water usage matrix'!J41</f>
        <v>110.56462675747009</v>
      </c>
      <c r="I19" s="64">
        <f>H19*(1+'dashboard and results'!$D$27)^A19</f>
        <v>111.5634474259538</v>
      </c>
      <c r="J19" s="64">
        <f t="shared" si="2"/>
        <v>227.3041886674566</v>
      </c>
      <c r="K19" s="178"/>
      <c r="L19" s="77">
        <f>G19*325.9*('water provider assumptions'!$C$22*(1+'water provider assumptions'!$C$23)^(A19-$A$13))</f>
        <v>435294.84943344729</v>
      </c>
      <c r="M19" s="77">
        <f>E19*'O&amp;M assumptions'!$B$17</f>
        <v>832350</v>
      </c>
      <c r="N19" s="179">
        <f t="shared" si="0"/>
        <v>1267644.8494334472</v>
      </c>
      <c r="O19" s="179"/>
      <c r="P19" s="77">
        <f>D19*'O&amp;M assumptions'!$O$22*43560</f>
        <v>1864496.7097191385</v>
      </c>
      <c r="Q19" s="77">
        <f>IF('dashboard and results'!$D$30&gt;0,'dashboard and results'!$D$30*D19*43560*-1,0)</f>
        <v>-435600</v>
      </c>
      <c r="R19" s="77">
        <f>I19*325.9*('water provider assumptions'!$C$22*(1+'water provider assumptions'!$C$23)^(A19-$A$13))</f>
        <v>143309.6255794999</v>
      </c>
      <c r="S19" s="82">
        <f>'O&amp;M cost matrix'!J42</f>
        <v>332868.74999999994</v>
      </c>
      <c r="T19" s="179">
        <f t="shared" si="1"/>
        <v>1905075.0852986383</v>
      </c>
    </row>
    <row r="20" spans="1:20" x14ac:dyDescent="0.3">
      <c r="A20" s="177">
        <f t="shared" si="3"/>
        <v>7</v>
      </c>
      <c r="B20" s="48">
        <f t="shared" si="3"/>
        <v>2029</v>
      </c>
      <c r="C20" s="48"/>
      <c r="D20" s="64">
        <f>'provider community calcs'!D20-'provider community calcs'!D19</f>
        <v>0</v>
      </c>
      <c r="E20" s="64">
        <f t="shared" si="4"/>
        <v>155</v>
      </c>
      <c r="F20" s="48"/>
      <c r="G20" s="64">
        <f>('provider community calcs'!D20*'dashboard and results'!$D$28)*(1+'dashboard and results'!$D$27)^A20</f>
        <v>339.37593754755056</v>
      </c>
      <c r="H20" s="64">
        <f>'revised water usage matrix'!K41</f>
        <v>108.36236485882475</v>
      </c>
      <c r="I20" s="64">
        <f>H20*(1+'dashboard and results'!$D$27)^A20</f>
        <v>109.50530263110416</v>
      </c>
      <c r="J20" s="64">
        <f t="shared" si="2"/>
        <v>229.87063491644642</v>
      </c>
      <c r="K20" s="178"/>
      <c r="L20" s="77">
        <f>G20*325.9*('water provider assumptions'!$C$22*(1+'water provider assumptions'!$C$23)^(A20-$A$13))</f>
        <v>444666.74754174938</v>
      </c>
      <c r="M20" s="77">
        <f>E20*'O&amp;M assumptions'!$B$17</f>
        <v>832350</v>
      </c>
      <c r="N20" s="179">
        <f t="shared" si="0"/>
        <v>1277016.7475417494</v>
      </c>
      <c r="O20" s="179"/>
      <c r="P20" s="77">
        <f>D20*'O&amp;M assumptions'!$O$22*43560</f>
        <v>0</v>
      </c>
      <c r="Q20" s="77">
        <f>IF('dashboard and results'!$D$30&gt;0,'dashboard and results'!$D$30*D20*43560*-1,0)</f>
        <v>0</v>
      </c>
      <c r="R20" s="77">
        <f>I20*325.9*('water provider assumptions'!$C$22*(1+'water provider assumptions'!$C$23)^(A20-$A$13))</f>
        <v>143479.13735848034</v>
      </c>
      <c r="S20" s="82">
        <f>'O&amp;M cost matrix'!K42</f>
        <v>332868.74999999994</v>
      </c>
      <c r="T20" s="179">
        <f t="shared" si="1"/>
        <v>476347.88735848025</v>
      </c>
    </row>
    <row r="21" spans="1:20" x14ac:dyDescent="0.3">
      <c r="A21" s="177">
        <f t="shared" si="3"/>
        <v>8</v>
      </c>
      <c r="B21" s="48">
        <f t="shared" si="3"/>
        <v>2030</v>
      </c>
      <c r="C21" s="48"/>
      <c r="D21" s="64">
        <f>'provider community calcs'!D21-'provider community calcs'!D20</f>
        <v>0</v>
      </c>
      <c r="E21" s="64">
        <f t="shared" si="4"/>
        <v>155</v>
      </c>
      <c r="F21" s="48"/>
      <c r="G21" s="64">
        <f>('provider community calcs'!D21*'dashboard and results'!$D$28)*(1+'dashboard and results'!$D$27)^A21</f>
        <v>339.88500145387201</v>
      </c>
      <c r="H21" s="64">
        <f>'revised water usage matrix'!L41</f>
        <v>108.64597622839888</v>
      </c>
      <c r="I21" s="64">
        <f>H21*(1+'dashboard and results'!$D$27)^A21</f>
        <v>109.95659321227933</v>
      </c>
      <c r="J21" s="64">
        <f t="shared" si="2"/>
        <v>229.92840824159268</v>
      </c>
      <c r="K21" s="178"/>
      <c r="L21" s="77">
        <f>G21*325.9*('water provider assumptions'!$C$22*(1+'water provider assumptions'!$C$23)^(A21-$A$13))</f>
        <v>454240.42261632346</v>
      </c>
      <c r="M21" s="77">
        <f>E21*'O&amp;M assumptions'!$B$17</f>
        <v>832350</v>
      </c>
      <c r="N21" s="179">
        <f t="shared" si="0"/>
        <v>1286590.4226163235</v>
      </c>
      <c r="O21" s="179"/>
      <c r="P21" s="77">
        <f>D21*'O&amp;M assumptions'!$O$22*43560</f>
        <v>0</v>
      </c>
      <c r="Q21" s="77">
        <f>IF('dashboard and results'!$D$30&gt;0,'dashboard and results'!$D$30*D21*43560*-1,0)</f>
        <v>0</v>
      </c>
      <c r="R21" s="77">
        <f>I21*325.9*('water provider assumptions'!$C$22*(1+'water provider assumptions'!$C$23)^(A21-$A$13))</f>
        <v>146951.84887990862</v>
      </c>
      <c r="S21" s="82">
        <f>'O&amp;M cost matrix'!L42</f>
        <v>332868.74999999994</v>
      </c>
      <c r="T21" s="179">
        <f t="shared" si="1"/>
        <v>479820.59887990856</v>
      </c>
    </row>
    <row r="22" spans="1:20" x14ac:dyDescent="0.3">
      <c r="A22" s="177">
        <f t="shared" si="3"/>
        <v>9</v>
      </c>
      <c r="B22" s="48">
        <f t="shared" si="3"/>
        <v>2031</v>
      </c>
      <c r="C22" s="48"/>
      <c r="D22" s="64">
        <f>'provider community calcs'!D22-'provider community calcs'!D21</f>
        <v>0</v>
      </c>
      <c r="E22" s="64">
        <f t="shared" si="4"/>
        <v>155</v>
      </c>
      <c r="F22" s="48"/>
      <c r="G22" s="64">
        <f>('provider community calcs'!D22*'dashboard and results'!$D$28)*(1+'dashboard and results'!$D$27)^A22</f>
        <v>340.39482895605283</v>
      </c>
      <c r="H22" s="64">
        <f>'revised water usage matrix'!M41</f>
        <v>108.64597622839888</v>
      </c>
      <c r="I22" s="64">
        <f>H22*(1+'dashboard and results'!$D$27)^A22</f>
        <v>110.12152810209776</v>
      </c>
      <c r="J22" s="64">
        <f t="shared" si="2"/>
        <v>230.27330085395508</v>
      </c>
      <c r="K22" s="178"/>
      <c r="L22" s="77">
        <f>G22*325.9*('water provider assumptions'!$C$22*(1+'water provider assumptions'!$C$23)^(A22-$A$13))</f>
        <v>464020.21891525289</v>
      </c>
      <c r="M22" s="77">
        <f>E22*'O&amp;M assumptions'!$B$17</f>
        <v>832350</v>
      </c>
      <c r="N22" s="179">
        <f t="shared" si="0"/>
        <v>1296370.2189152529</v>
      </c>
      <c r="O22" s="179"/>
      <c r="P22" s="77">
        <f>D22*'O&amp;M assumptions'!$O$22*43560</f>
        <v>0</v>
      </c>
      <c r="Q22" s="77">
        <f>IF('dashboard and results'!$D$30&gt;0,'dashboard and results'!$D$30*D22*43560*-1,0)</f>
        <v>0</v>
      </c>
      <c r="R22" s="77">
        <f>I22*325.9*('water provider assumptions'!$C$22*(1+'water provider assumptions'!$C$23)^(A22-$A$13))</f>
        <v>150115.72218629307</v>
      </c>
      <c r="S22" s="82">
        <f>'O&amp;M cost matrix'!M42</f>
        <v>352304.23387096764</v>
      </c>
      <c r="T22" s="179">
        <f t="shared" si="1"/>
        <v>502419.95605726074</v>
      </c>
    </row>
    <row r="23" spans="1:20" x14ac:dyDescent="0.3">
      <c r="A23" s="177">
        <f t="shared" si="3"/>
        <v>10</v>
      </c>
      <c r="B23" s="48">
        <f t="shared" si="3"/>
        <v>2032</v>
      </c>
      <c r="C23" s="48"/>
      <c r="D23" s="64">
        <f>'provider community calcs'!D23-'provider community calcs'!D22</f>
        <v>0</v>
      </c>
      <c r="E23" s="64">
        <f t="shared" si="4"/>
        <v>155</v>
      </c>
      <c r="F23" s="48"/>
      <c r="G23" s="64">
        <f>('provider community calcs'!D23*'dashboard and results'!$D$28)*(1+'dashboard and results'!$D$27)^A23</f>
        <v>340.90542119948697</v>
      </c>
      <c r="H23" s="64">
        <f>'revised water usage matrix'!N41</f>
        <v>108.64597622839888</v>
      </c>
      <c r="I23" s="64">
        <f>H23*(1+'dashboard and results'!$D$27)^A23</f>
        <v>110.28671039425092</v>
      </c>
      <c r="J23" s="64">
        <f t="shared" si="2"/>
        <v>230.61871080523605</v>
      </c>
      <c r="K23" s="178"/>
      <c r="L23" s="77">
        <f>G23*325.9*('water provider assumptions'!$C$22*(1+'water provider assumptions'!$C$23)^(A23-$A$13))</f>
        <v>474010.57422849839</v>
      </c>
      <c r="M23" s="77">
        <f>E23*'O&amp;M assumptions'!$B$17</f>
        <v>832350</v>
      </c>
      <c r="N23" s="179">
        <f t="shared" si="0"/>
        <v>1306360.5742284984</v>
      </c>
      <c r="O23" s="179"/>
      <c r="P23" s="77">
        <f>D23*'O&amp;M assumptions'!$O$22*43560</f>
        <v>0</v>
      </c>
      <c r="Q23" s="77">
        <f>IF('dashboard and results'!$D$30&gt;0,'dashboard and results'!$D$30*D23*43560*-1,0)</f>
        <v>0</v>
      </c>
      <c r="R23" s="77">
        <f>I23*325.9*('water provider assumptions'!$C$22*(1+'water provider assumptions'!$C$23)^(A23-$A$13))</f>
        <v>153347.71368496396</v>
      </c>
      <c r="S23" s="82">
        <f>'O&amp;M cost matrix'!N42</f>
        <v>357163.10483870958</v>
      </c>
      <c r="T23" s="179">
        <f t="shared" si="1"/>
        <v>510510.81852367357</v>
      </c>
    </row>
    <row r="24" spans="1:20" x14ac:dyDescent="0.3">
      <c r="A24" s="177">
        <f t="shared" si="3"/>
        <v>11</v>
      </c>
      <c r="B24" s="48">
        <f t="shared" si="3"/>
        <v>2033</v>
      </c>
      <c r="C24" s="48"/>
      <c r="D24" s="64">
        <f>'provider community calcs'!D24-'provider community calcs'!D23</f>
        <v>0</v>
      </c>
      <c r="E24" s="64">
        <f t="shared" si="4"/>
        <v>155</v>
      </c>
      <c r="F24" s="48"/>
      <c r="G24" s="64">
        <f>('provider community calcs'!D24*'dashboard and results'!$D$28)*(1+'dashboard and results'!$D$27)^A24</f>
        <v>341.41677933128619</v>
      </c>
      <c r="H24" s="64">
        <f>'revised water usage matrix'!O41</f>
        <v>108.64597622839888</v>
      </c>
      <c r="I24" s="64">
        <f>H24*(1+'dashboard and results'!$D$27)^A24</f>
        <v>110.45214045984228</v>
      </c>
      <c r="J24" s="64">
        <f t="shared" si="2"/>
        <v>230.96463887144392</v>
      </c>
      <c r="K24" s="178"/>
      <c r="L24" s="77">
        <f>G24*325.9*('water provider assumptions'!$C$22*(1+'water provider assumptions'!$C$23)^(A24-$A$13))</f>
        <v>484216.02189163794</v>
      </c>
      <c r="M24" s="77">
        <f>E24*'O&amp;M assumptions'!$B$17</f>
        <v>832350</v>
      </c>
      <c r="N24" s="179">
        <f t="shared" si="0"/>
        <v>1316566.0218916379</v>
      </c>
      <c r="O24" s="179"/>
      <c r="P24" s="77">
        <f>D24*'O&amp;M assumptions'!$O$22*43560</f>
        <v>0</v>
      </c>
      <c r="Q24" s="77">
        <f>IF('dashboard and results'!$D$30&gt;0,'dashboard and results'!$D$30*D24*43560*-1,0)</f>
        <v>0</v>
      </c>
      <c r="R24" s="77">
        <f>I24*325.9*('water provider assumptions'!$C$22*(1+'water provider assumptions'!$C$23)^(A24-$A$13))</f>
        <v>156649.28996060125</v>
      </c>
      <c r="S24" s="82">
        <f>'O&amp;M cost matrix'!O42</f>
        <v>357163.10483870958</v>
      </c>
      <c r="T24" s="179">
        <f t="shared" si="1"/>
        <v>513812.39479931083</v>
      </c>
    </row>
    <row r="25" spans="1:20" x14ac:dyDescent="0.3">
      <c r="A25" s="177">
        <f t="shared" si="3"/>
        <v>12</v>
      </c>
      <c r="B25" s="48">
        <f t="shared" si="3"/>
        <v>2034</v>
      </c>
      <c r="C25" s="48"/>
      <c r="D25" s="64">
        <f>'provider community calcs'!D25-'provider community calcs'!D24</f>
        <v>0</v>
      </c>
      <c r="E25" s="64">
        <f t="shared" si="4"/>
        <v>155</v>
      </c>
      <c r="F25" s="48"/>
      <c r="G25" s="64">
        <f>('provider community calcs'!D25*'dashboard and results'!$D$28)*(1+'dashboard and results'!$D$27)^A25</f>
        <v>341.92890450028324</v>
      </c>
      <c r="H25" s="64">
        <f>'revised water usage matrix'!P41</f>
        <v>108.64597622839888</v>
      </c>
      <c r="I25" s="64">
        <f>H25*(1+'dashboard and results'!$D$27)^A25</f>
        <v>110.61781867053209</v>
      </c>
      <c r="J25" s="64">
        <f t="shared" si="2"/>
        <v>231.31108582975116</v>
      </c>
      <c r="K25" s="178"/>
      <c r="L25" s="77">
        <f>G25*325.9*('water provider assumptions'!$C$22*(1+'water provider assumptions'!$C$23)^(A25-$A$13))</f>
        <v>494641.19284296513</v>
      </c>
      <c r="M25" s="77">
        <f>E25*'O&amp;M assumptions'!$B$17</f>
        <v>832350</v>
      </c>
      <c r="N25" s="179">
        <f t="shared" si="0"/>
        <v>1326991.192842965</v>
      </c>
      <c r="O25" s="179"/>
      <c r="P25" s="77">
        <f>D25*'O&amp;M assumptions'!$O$22*43560</f>
        <v>0</v>
      </c>
      <c r="Q25" s="77">
        <f>IF('dashboard and results'!$D$30&gt;0,'dashboard and results'!$D$30*D25*43560*-1,0)</f>
        <v>0</v>
      </c>
      <c r="R25" s="77">
        <f>I25*325.9*('water provider assumptions'!$C$22*(1+'water provider assumptions'!$C$23)^(A25-$A$13))</f>
        <v>160021.94917345306</v>
      </c>
      <c r="S25" s="82">
        <f>'O&amp;M cost matrix'!P42</f>
        <v>357163.10483870964</v>
      </c>
      <c r="T25" s="179">
        <f t="shared" si="1"/>
        <v>517185.05401216273</v>
      </c>
    </row>
    <row r="26" spans="1:20" x14ac:dyDescent="0.3">
      <c r="A26" s="177">
        <f t="shared" si="3"/>
        <v>13</v>
      </c>
      <c r="B26" s="48">
        <f t="shared" si="3"/>
        <v>2035</v>
      </c>
      <c r="C26" s="48"/>
      <c r="D26" s="64">
        <f>'provider community calcs'!D26-'provider community calcs'!D25</f>
        <v>0</v>
      </c>
      <c r="E26" s="64">
        <f t="shared" si="4"/>
        <v>155</v>
      </c>
      <c r="F26" s="48"/>
      <c r="G26" s="64">
        <f>('provider community calcs'!D26*'dashboard and results'!$D$28)*(1+'dashboard and results'!$D$27)^A26</f>
        <v>342.44179785703363</v>
      </c>
      <c r="H26" s="64">
        <f>'revised water usage matrix'!Q41</f>
        <v>108.64597622839888</v>
      </c>
      <c r="I26" s="64">
        <f>H26*(1+'dashboard and results'!$D$27)^A26</f>
        <v>110.78374539853787</v>
      </c>
      <c r="J26" s="64">
        <f t="shared" si="2"/>
        <v>231.65805245849577</v>
      </c>
      <c r="K26" s="178"/>
      <c r="L26" s="77">
        <f>G26*325.9*('water provider assumptions'!$C$22*(1+'water provider assumptions'!$C$23)^(A26-$A$13))</f>
        <v>505290.81772487407</v>
      </c>
      <c r="M26" s="77">
        <f>E26*'O&amp;M assumptions'!$B$17</f>
        <v>832350</v>
      </c>
      <c r="N26" s="179">
        <f t="shared" si="0"/>
        <v>1337640.817724874</v>
      </c>
      <c r="O26" s="179"/>
      <c r="P26" s="77">
        <f>D26*'O&amp;M assumptions'!$O$22*43560</f>
        <v>0</v>
      </c>
      <c r="Q26" s="77">
        <f>IF('dashboard and results'!$D$30&gt;0,'dashboard and results'!$D$30*D26*43560*-1,0)</f>
        <v>0</v>
      </c>
      <c r="R26" s="77">
        <f>I26*325.9*('water provider assumptions'!$C$22*(1+'water provider assumptions'!$C$23)^(A26-$A$13))</f>
        <v>163467.22173915748</v>
      </c>
      <c r="S26" s="82">
        <f>'O&amp;M cost matrix'!Q42</f>
        <v>357163.10483870964</v>
      </c>
      <c r="T26" s="179">
        <f t="shared" si="1"/>
        <v>520630.32657786715</v>
      </c>
    </row>
    <row r="27" spans="1:20" x14ac:dyDescent="0.3">
      <c r="A27" s="177">
        <f t="shared" si="3"/>
        <v>14</v>
      </c>
      <c r="B27" s="48">
        <f t="shared" si="3"/>
        <v>2036</v>
      </c>
      <c r="C27" s="48"/>
      <c r="D27" s="64">
        <f>'provider community calcs'!D27-'provider community calcs'!D26</f>
        <v>0</v>
      </c>
      <c r="E27" s="64">
        <f t="shared" si="4"/>
        <v>155</v>
      </c>
      <c r="F27" s="48"/>
      <c r="G27" s="64">
        <f>('provider community calcs'!D27*'dashboard and results'!$D$28)*(1+'dashboard and results'!$D$27)^A27</f>
        <v>342.95546055381925</v>
      </c>
      <c r="H27" s="64">
        <f>'revised water usage matrix'!R41</f>
        <v>108.64597622839888</v>
      </c>
      <c r="I27" s="64">
        <f>H27*(1+'dashboard and results'!$D$27)^A27</f>
        <v>110.94992101663571</v>
      </c>
      <c r="J27" s="64">
        <f t="shared" si="2"/>
        <v>232.00553953718355</v>
      </c>
      <c r="K27" s="178"/>
      <c r="L27" s="77">
        <f>G27*325.9*('water provider assumptions'!$C$22*(1+'water provider assumptions'!$C$23)^(A27-$A$13))</f>
        <v>516169.72903049079</v>
      </c>
      <c r="M27" s="77">
        <f>E27*'O&amp;M assumptions'!$B$17</f>
        <v>832350</v>
      </c>
      <c r="N27" s="179">
        <f t="shared" si="0"/>
        <v>1348519.7290304909</v>
      </c>
      <c r="O27" s="179"/>
      <c r="P27" s="77">
        <f>D27*'O&amp;M assumptions'!$O$22*43560</f>
        <v>0</v>
      </c>
      <c r="Q27" s="77">
        <f>IF('dashboard and results'!$D$30&gt;0,'dashboard and results'!$D$30*D27*43560*-1,0)</f>
        <v>0</v>
      </c>
      <c r="R27" s="77">
        <f>I27*325.9*('water provider assumptions'!$C$22*(1+'water provider assumptions'!$C$23)^(A27-$A$13))</f>
        <v>166986.6710232016</v>
      </c>
      <c r="S27" s="82">
        <f>'O&amp;M cost matrix'!R42</f>
        <v>357163.10483870964</v>
      </c>
      <c r="T27" s="179">
        <f t="shared" si="1"/>
        <v>524149.77586191124</v>
      </c>
    </row>
    <row r="28" spans="1:20" x14ac:dyDescent="0.3">
      <c r="A28" s="177">
        <f t="shared" si="3"/>
        <v>15</v>
      </c>
      <c r="B28" s="48">
        <f t="shared" si="3"/>
        <v>2037</v>
      </c>
      <c r="C28" s="48"/>
      <c r="D28" s="64">
        <f>'provider community calcs'!D28-'provider community calcs'!D27</f>
        <v>0</v>
      </c>
      <c r="E28" s="64">
        <f t="shared" si="4"/>
        <v>155</v>
      </c>
      <c r="F28" s="48"/>
      <c r="G28" s="64">
        <f>('provider community calcs'!D28*'dashboard and results'!$D$28)*(1+'dashboard and results'!$D$27)^A28</f>
        <v>343.46989374464994</v>
      </c>
      <c r="H28" s="64">
        <f>'revised water usage matrix'!S41</f>
        <v>108.64597622839888</v>
      </c>
      <c r="I28" s="64">
        <f>H28*(1+'dashboard and results'!$D$27)^A28</f>
        <v>111.11634589816066</v>
      </c>
      <c r="J28" s="64">
        <f t="shared" si="2"/>
        <v>232.35354784648928</v>
      </c>
      <c r="K28" s="178"/>
      <c r="L28" s="77">
        <f>G28*325.9*('water provider assumptions'!$C$22*(1+'water provider assumptions'!$C$23)^(A28-$A$13))</f>
        <v>527282.86329651705</v>
      </c>
      <c r="M28" s="77">
        <f>E28*'O&amp;M assumptions'!$B$17</f>
        <v>832350</v>
      </c>
      <c r="N28" s="179">
        <f t="shared" si="0"/>
        <v>1359632.8632965172</v>
      </c>
      <c r="O28" s="179"/>
      <c r="P28" s="77">
        <f>D28*'O&amp;M assumptions'!$O$22*43560</f>
        <v>0</v>
      </c>
      <c r="Q28" s="77">
        <f>IF('dashboard and results'!$D$30&gt;0,'dashboard and results'!$D$30*D28*43560*-1,0)</f>
        <v>0</v>
      </c>
      <c r="R28" s="77">
        <f>I28*325.9*('water provider assumptions'!$C$22*(1+'water provider assumptions'!$C$23)^(A28-$A$13))</f>
        <v>170581.89405033106</v>
      </c>
      <c r="S28" s="82">
        <f>'O&amp;M cost matrix'!S42</f>
        <v>342586.49193548382</v>
      </c>
      <c r="T28" s="179">
        <f t="shared" si="1"/>
        <v>513168.38598581485</v>
      </c>
    </row>
    <row r="29" spans="1:20" x14ac:dyDescent="0.3">
      <c r="A29" s="177">
        <f t="shared" si="3"/>
        <v>16</v>
      </c>
      <c r="B29" s="48">
        <f t="shared" si="3"/>
        <v>2038</v>
      </c>
      <c r="C29" s="48"/>
      <c r="D29" s="64">
        <f>'provider community calcs'!D29-'provider community calcs'!D28</f>
        <v>0</v>
      </c>
      <c r="E29" s="64">
        <f t="shared" si="4"/>
        <v>155</v>
      </c>
      <c r="F29" s="48"/>
      <c r="G29" s="64">
        <f>('provider community calcs'!D29*'dashboard and results'!$D$28)*(1+'dashboard and results'!$D$27)^A29</f>
        <v>343.98509858526711</v>
      </c>
      <c r="H29" s="64">
        <f>'revised water usage matrix'!T41</f>
        <v>108.64597622839888</v>
      </c>
      <c r="I29" s="64">
        <f>H29*(1+'dashboard and results'!$D$27)^A29</f>
        <v>111.28302041700795</v>
      </c>
      <c r="J29" s="64">
        <f t="shared" si="2"/>
        <v>232.70207816825916</v>
      </c>
      <c r="K29" s="178"/>
      <c r="L29" s="77">
        <f>G29*325.9*('water provider assumptions'!$C$22*(1+'water provider assumptions'!$C$23)^(A29-$A$13))</f>
        <v>538635.26334329136</v>
      </c>
      <c r="M29" s="77">
        <f>E29*'O&amp;M assumptions'!$B$17</f>
        <v>832350</v>
      </c>
      <c r="N29" s="179">
        <f t="shared" si="0"/>
        <v>1370985.2633432914</v>
      </c>
      <c r="O29" s="179"/>
      <c r="P29" s="77">
        <f>D29*'O&amp;M assumptions'!$O$22*43560</f>
        <v>0</v>
      </c>
      <c r="Q29" s="77">
        <f>IF('dashboard and results'!$D$30&gt;0,'dashboard and results'!$D$30*D29*43560*-1,0)</f>
        <v>0</v>
      </c>
      <c r="R29" s="77">
        <f>I29*325.9*('water provider assumptions'!$C$22*(1+'water provider assumptions'!$C$23)^(A29-$A$13))</f>
        <v>174254.5222292348</v>
      </c>
      <c r="S29" s="82">
        <f>'O&amp;M cost matrix'!T42</f>
        <v>332868.74999999994</v>
      </c>
      <c r="T29" s="179">
        <f t="shared" si="1"/>
        <v>507123.27222923475</v>
      </c>
    </row>
    <row r="30" spans="1:20" x14ac:dyDescent="0.3">
      <c r="A30" s="177">
        <f t="shared" si="3"/>
        <v>17</v>
      </c>
      <c r="B30" s="48">
        <f t="shared" si="3"/>
        <v>2039</v>
      </c>
      <c r="C30" s="48"/>
      <c r="D30" s="64">
        <f>'provider community calcs'!D30-'provider community calcs'!D29</f>
        <v>0</v>
      </c>
      <c r="E30" s="64">
        <f t="shared" si="4"/>
        <v>155</v>
      </c>
      <c r="F30" s="48"/>
      <c r="G30" s="64">
        <f>('provider community calcs'!D30*'dashboard and results'!$D$28)*(1+'dashboard and results'!$D$27)^A30</f>
        <v>344.50107623314506</v>
      </c>
      <c r="H30" s="64">
        <f>'revised water usage matrix'!U41</f>
        <v>108.64597622839888</v>
      </c>
      <c r="I30" s="64">
        <f>H30*(1+'dashboard and results'!$D$27)^A30</f>
        <v>111.44994494763347</v>
      </c>
      <c r="J30" s="64">
        <f t="shared" si="2"/>
        <v>233.05113128551159</v>
      </c>
      <c r="K30" s="178"/>
      <c r="L30" s="77">
        <f>G30*325.9*('water provider assumptions'!$C$22*(1+'water provider assumptions'!$C$23)^(A30-$A$13))</f>
        <v>550232.0805630727</v>
      </c>
      <c r="M30" s="77">
        <f>E30*'O&amp;M assumptions'!$B$17</f>
        <v>832350</v>
      </c>
      <c r="N30" s="179">
        <f t="shared" si="0"/>
        <v>1382582.0805630726</v>
      </c>
      <c r="O30" s="179"/>
      <c r="P30" s="77">
        <f>D30*'O&amp;M assumptions'!$O$22*43560</f>
        <v>0</v>
      </c>
      <c r="Q30" s="77">
        <f>IF('dashboard and results'!$D$30&gt;0,'dashboard and results'!$D$30*D30*43560*-1,0)</f>
        <v>0</v>
      </c>
      <c r="R30" s="77">
        <f>I30*325.9*('water provider assumptions'!$C$22*(1+'water provider assumptions'!$C$23)^(A30-$A$13))</f>
        <v>178006.22209283026</v>
      </c>
      <c r="S30" s="82">
        <f>'O&amp;M cost matrix'!U42</f>
        <v>332868.74999999994</v>
      </c>
      <c r="T30" s="179">
        <f t="shared" si="1"/>
        <v>510874.97209283023</v>
      </c>
    </row>
    <row r="31" spans="1:20" x14ac:dyDescent="0.3">
      <c r="A31" s="177">
        <f t="shared" ref="A31:B42" si="5">A30+1</f>
        <v>18</v>
      </c>
      <c r="B31" s="48">
        <f t="shared" si="5"/>
        <v>2040</v>
      </c>
      <c r="C31" s="48"/>
      <c r="D31" s="64">
        <f>'provider community calcs'!D31-'provider community calcs'!D30</f>
        <v>0</v>
      </c>
      <c r="E31" s="64">
        <f t="shared" si="4"/>
        <v>155</v>
      </c>
      <c r="F31" s="48"/>
      <c r="G31" s="64">
        <f>('provider community calcs'!D31*'dashboard and results'!$D$28)*(1+'dashboard and results'!$D$27)^A31</f>
        <v>345.01782784749474</v>
      </c>
      <c r="H31" s="64">
        <f>'revised water usage matrix'!V41</f>
        <v>108.64597622839888</v>
      </c>
      <c r="I31" s="64">
        <f>H31*(1+'dashboard and results'!$D$27)^A31</f>
        <v>111.61711986505493</v>
      </c>
      <c r="J31" s="64">
        <f t="shared" si="2"/>
        <v>233.40070798243983</v>
      </c>
      <c r="K31" s="178"/>
      <c r="L31" s="77">
        <f>G31*325.9*('water provider assumptions'!$C$22*(1+'water provider assumptions'!$C$23)^(A31-$A$13))</f>
        <v>562078.57725759549</v>
      </c>
      <c r="M31" s="77">
        <f>E31*'O&amp;M assumptions'!$B$17</f>
        <v>832350</v>
      </c>
      <c r="N31" s="179">
        <f t="shared" si="0"/>
        <v>1394428.5772575955</v>
      </c>
      <c r="O31" s="179"/>
      <c r="P31" s="77">
        <f>D31*'O&amp;M assumptions'!$O$22*43560</f>
        <v>0</v>
      </c>
      <c r="Q31" s="77">
        <f>IF('dashboard and results'!$D$30&gt;0,'dashboard and results'!$D$30*D31*43560*-1,0)</f>
        <v>0</v>
      </c>
      <c r="R31" s="77">
        <f>I31*325.9*('water provider assumptions'!$C$22*(1+'water provider assumptions'!$C$23)^(A31-$A$13))</f>
        <v>181838.69605448889</v>
      </c>
      <c r="S31" s="82">
        <f>'O&amp;M cost matrix'!V42</f>
        <v>332868.74999999994</v>
      </c>
      <c r="T31" s="179">
        <f t="shared" si="1"/>
        <v>514707.44605448883</v>
      </c>
    </row>
    <row r="32" spans="1:20" x14ac:dyDescent="0.3">
      <c r="A32" s="177">
        <f t="shared" si="5"/>
        <v>19</v>
      </c>
      <c r="B32" s="48">
        <f t="shared" si="5"/>
        <v>2041</v>
      </c>
      <c r="C32" s="48"/>
      <c r="D32" s="64">
        <f>'provider community calcs'!D32-'provider community calcs'!D31</f>
        <v>0</v>
      </c>
      <c r="E32" s="64">
        <f t="shared" si="4"/>
        <v>155</v>
      </c>
      <c r="F32" s="48"/>
      <c r="G32" s="64">
        <f>('provider community calcs'!D32*'dashboard and results'!$D$28)*(1+'dashboard and results'!$D$27)^A32</f>
        <v>345.53535458926603</v>
      </c>
      <c r="H32" s="64">
        <f>'revised water usage matrix'!W41</f>
        <v>108.64597622839888</v>
      </c>
      <c r="I32" s="64">
        <f>H32*(1+'dashboard and results'!$D$27)^A32</f>
        <v>111.78454554485252</v>
      </c>
      <c r="J32" s="64">
        <f t="shared" si="2"/>
        <v>233.75080904441353</v>
      </c>
      <c r="K32" s="178"/>
      <c r="L32" s="77">
        <f>G32*325.9*('water provider assumptions'!$C$22*(1+'water provider assumptions'!$C$23)^(A32-$A$13))</f>
        <v>574180.12902595161</v>
      </c>
      <c r="M32" s="77">
        <f>E32*'O&amp;M assumptions'!$B$17</f>
        <v>832350</v>
      </c>
      <c r="N32" s="179">
        <f t="shared" si="0"/>
        <v>1406530.1290259515</v>
      </c>
      <c r="O32" s="179"/>
      <c r="P32" s="77">
        <f>D32*'O&amp;M assumptions'!$O$22*43560</f>
        <v>0</v>
      </c>
      <c r="Q32" s="77">
        <f>IF('dashboard and results'!$D$30&gt;0,'dashboard and results'!$D$30*D32*43560*-1,0)</f>
        <v>0</v>
      </c>
      <c r="R32" s="77">
        <f>I32*325.9*('water provider assumptions'!$C$22*(1+'water provider assumptions'!$C$23)^(A32-$A$13))</f>
        <v>185753.68318054205</v>
      </c>
      <c r="S32" s="82">
        <f>'O&amp;M cost matrix'!W42</f>
        <v>352304.23387096764</v>
      </c>
      <c r="T32" s="179">
        <f t="shared" si="1"/>
        <v>538057.91705150972</v>
      </c>
    </row>
    <row r="33" spans="1:20" x14ac:dyDescent="0.3">
      <c r="A33" s="177">
        <f t="shared" si="5"/>
        <v>20</v>
      </c>
      <c r="B33" s="48">
        <f t="shared" si="5"/>
        <v>2042</v>
      </c>
      <c r="C33" s="48"/>
      <c r="D33" s="64">
        <f>'provider community calcs'!D33-'provider community calcs'!D32</f>
        <v>0</v>
      </c>
      <c r="E33" s="64">
        <f t="shared" si="4"/>
        <v>155</v>
      </c>
      <c r="F33" s="48"/>
      <c r="G33" s="64">
        <f>('provider community calcs'!D33*'dashboard and results'!$D$28)*(1+'dashboard and results'!$D$27)^A33</f>
        <v>346.05365762115002</v>
      </c>
      <c r="H33" s="64">
        <f>'revised water usage matrix'!X41</f>
        <v>108.64597622839888</v>
      </c>
      <c r="I33" s="64">
        <f>H33*(1+'dashboard and results'!$D$27)^A33</f>
        <v>111.95222236316982</v>
      </c>
      <c r="J33" s="64">
        <f t="shared" si="2"/>
        <v>234.1014352579802</v>
      </c>
      <c r="K33" s="178"/>
      <c r="L33" s="77">
        <f>G33*325.9*('water provider assumptions'!$C$22*(1+'water provider assumptions'!$C$23)^(A33-$A$13))</f>
        <v>586542.22720388055</v>
      </c>
      <c r="M33" s="77">
        <f>E33*'O&amp;M assumptions'!$B$17</f>
        <v>832350</v>
      </c>
      <c r="N33" s="179">
        <f t="shared" si="0"/>
        <v>1418892.2272038804</v>
      </c>
      <c r="O33" s="179"/>
      <c r="P33" s="77">
        <f>D33*'O&amp;M assumptions'!$O$22*43560</f>
        <v>0</v>
      </c>
      <c r="Q33" s="77">
        <f>IF('dashboard and results'!$D$30&gt;0,'dashboard and results'!$D$30*D33*43560*-1,0)</f>
        <v>0</v>
      </c>
      <c r="R33" s="77">
        <f>I33*325.9*('water provider assumptions'!$C$22*(1+'water provider assumptions'!$C$23)^(A33-$A$13))</f>
        <v>189752.95997941916</v>
      </c>
      <c r="S33" s="82">
        <f>'O&amp;M cost matrix'!X42</f>
        <v>357163.10483870958</v>
      </c>
      <c r="T33" s="179">
        <f t="shared" si="1"/>
        <v>546916.06481812871</v>
      </c>
    </row>
    <row r="34" spans="1:20" x14ac:dyDescent="0.3">
      <c r="A34" s="177">
        <f t="shared" si="5"/>
        <v>21</v>
      </c>
      <c r="B34" s="48">
        <f t="shared" si="5"/>
        <v>2043</v>
      </c>
      <c r="C34" s="48"/>
      <c r="D34" s="64">
        <f>'provider community calcs'!D34-'provider community calcs'!D33</f>
        <v>0</v>
      </c>
      <c r="E34" s="64">
        <f t="shared" si="4"/>
        <v>155</v>
      </c>
      <c r="F34" s="48"/>
      <c r="G34" s="64">
        <f>('provider community calcs'!D34*'dashboard and results'!$D$28)*(1+'dashboard and results'!$D$27)^A34</f>
        <v>346.57273810758181</v>
      </c>
      <c r="H34" s="64">
        <f>'revised water usage matrix'!Y41</f>
        <v>108.64597622839888</v>
      </c>
      <c r="I34" s="64">
        <f>H34*(1+'dashboard and results'!$D$27)^A34</f>
        <v>112.1201506967146</v>
      </c>
      <c r="J34" s="64">
        <f t="shared" si="2"/>
        <v>234.45258741086721</v>
      </c>
      <c r="K34" s="178"/>
      <c r="L34" s="77">
        <f>G34*325.9*('water provider assumptions'!$C$22*(1+'water provider assumptions'!$C$23)^(A34-$A$13))</f>
        <v>599170.48135558015</v>
      </c>
      <c r="M34" s="77">
        <f>E34*'O&amp;M assumptions'!$B$17</f>
        <v>832350</v>
      </c>
      <c r="N34" s="179">
        <f t="shared" si="0"/>
        <v>1431520.48135558</v>
      </c>
      <c r="O34" s="179"/>
      <c r="P34" s="77">
        <f>D34*'O&amp;M assumptions'!$O$22*43560</f>
        <v>0</v>
      </c>
      <c r="Q34" s="77">
        <f>IF('dashboard and results'!$D$30&gt;0,'dashboard and results'!$D$30*D34*43560*-1,0)</f>
        <v>0</v>
      </c>
      <c r="R34" s="77">
        <f>I34*325.9*('water provider assumptions'!$C$22*(1+'water provider assumptions'!$C$23)^(A34-$A$13))</f>
        <v>193838.3412077761</v>
      </c>
      <c r="S34" s="82">
        <f>'O&amp;M cost matrix'!Y42</f>
        <v>357163.10483870958</v>
      </c>
      <c r="T34" s="179">
        <f t="shared" si="1"/>
        <v>551001.44604648568</v>
      </c>
    </row>
    <row r="35" spans="1:20" x14ac:dyDescent="0.3">
      <c r="A35" s="177">
        <f t="shared" si="5"/>
        <v>22</v>
      </c>
      <c r="B35" s="48">
        <f t="shared" si="5"/>
        <v>2044</v>
      </c>
      <c r="C35" s="48"/>
      <c r="D35" s="64">
        <f>'provider community calcs'!D35-'provider community calcs'!D34</f>
        <v>0</v>
      </c>
      <c r="E35" s="64">
        <f t="shared" si="4"/>
        <v>155</v>
      </c>
      <c r="F35" s="48"/>
      <c r="G35" s="64">
        <f>('provider community calcs'!D35*'dashboard and results'!$D$28)*(1+'dashboard and results'!$D$27)^A35</f>
        <v>347.09259721474314</v>
      </c>
      <c r="H35" s="64">
        <f>'revised water usage matrix'!Z41</f>
        <v>108.64597622839888</v>
      </c>
      <c r="I35" s="64">
        <f>H35*(1+'dashboard and results'!$D$27)^A35</f>
        <v>112.28833092275966</v>
      </c>
      <c r="J35" s="64">
        <f t="shared" si="2"/>
        <v>234.80426629198348</v>
      </c>
      <c r="K35" s="178"/>
      <c r="L35" s="77">
        <f>G35*325.9*('water provider assumptions'!$C$22*(1+'water provider assumptions'!$C$23)^(A35-$A$13))</f>
        <v>612070.62181916565</v>
      </c>
      <c r="M35" s="77">
        <f>E35*'O&amp;M assumptions'!$B$17</f>
        <v>832350</v>
      </c>
      <c r="N35" s="179">
        <f t="shared" si="0"/>
        <v>1444420.6218191655</v>
      </c>
      <c r="O35" s="179"/>
      <c r="P35" s="77">
        <f>D35*'O&amp;M assumptions'!$O$22*43560</f>
        <v>0</v>
      </c>
      <c r="Q35" s="77">
        <f>IF('dashboard and results'!$D$30&gt;0,'dashboard and results'!$D$30*D35*43560*-1,0)</f>
        <v>0</v>
      </c>
      <c r="R35" s="77">
        <f>I35*325.9*('water provider assumptions'!$C$22*(1+'water provider assumptions'!$C$23)^(A35-$A$13))</f>
        <v>198011.68069397949</v>
      </c>
      <c r="S35" s="82">
        <f>'O&amp;M cost matrix'!Z42</f>
        <v>357163.10483870964</v>
      </c>
      <c r="T35" s="179">
        <f t="shared" si="1"/>
        <v>555174.78553268919</v>
      </c>
    </row>
    <row r="36" spans="1:20" x14ac:dyDescent="0.3">
      <c r="A36" s="177">
        <f t="shared" si="5"/>
        <v>23</v>
      </c>
      <c r="B36" s="48">
        <f t="shared" si="5"/>
        <v>2045</v>
      </c>
      <c r="C36" s="48"/>
      <c r="D36" s="64">
        <f>'provider community calcs'!D36-'provider community calcs'!D35</f>
        <v>0</v>
      </c>
      <c r="E36" s="64">
        <f t="shared" si="4"/>
        <v>155</v>
      </c>
      <c r="F36" s="48"/>
      <c r="G36" s="64">
        <f>('provider community calcs'!D36*'dashboard and results'!$D$28)*(1+'dashboard and results'!$D$27)^A36</f>
        <v>347.61323611056537</v>
      </c>
      <c r="H36" s="64">
        <f>'revised water usage matrix'!AA41</f>
        <v>108.64597622839888</v>
      </c>
      <c r="I36" s="64">
        <f>H36*(1+'dashboard and results'!$D$27)^A36</f>
        <v>112.45676341914383</v>
      </c>
      <c r="J36" s="64">
        <f t="shared" si="2"/>
        <v>235.15647269142153</v>
      </c>
      <c r="K36" s="178"/>
      <c r="L36" s="77">
        <f>G36*325.9*('water provider assumptions'!$C$22*(1+'water provider assumptions'!$C$23)^(A36-$A$13))</f>
        <v>625248.50230693247</v>
      </c>
      <c r="M36" s="77">
        <f>E36*'O&amp;M assumptions'!$B$17</f>
        <v>832350</v>
      </c>
      <c r="N36" s="179">
        <f t="shared" si="0"/>
        <v>1457598.5023069326</v>
      </c>
      <c r="O36" s="179"/>
      <c r="P36" s="77">
        <f>D36*'O&amp;M assumptions'!$O$22*43560</f>
        <v>0</v>
      </c>
      <c r="Q36" s="77">
        <f>IF('dashboard and results'!$D$30&gt;0,'dashboard and results'!$D$30*D36*43560*-1,0)</f>
        <v>0</v>
      </c>
      <c r="R36" s="77">
        <f>I36*325.9*('water provider assumptions'!$C$22*(1+'water provider assumptions'!$C$23)^(A36-$A$13))</f>
        <v>202274.8721793209</v>
      </c>
      <c r="S36" s="82">
        <f>'O&amp;M cost matrix'!AA42</f>
        <v>357163.10483870964</v>
      </c>
      <c r="T36" s="179">
        <f t="shared" si="1"/>
        <v>559437.97701803059</v>
      </c>
    </row>
    <row r="37" spans="1:20" x14ac:dyDescent="0.3">
      <c r="A37" s="177">
        <f t="shared" si="5"/>
        <v>24</v>
      </c>
      <c r="B37" s="48">
        <f t="shared" si="5"/>
        <v>2046</v>
      </c>
      <c r="C37" s="48"/>
      <c r="D37" s="64">
        <f>'provider community calcs'!D37-'provider community calcs'!D36</f>
        <v>0</v>
      </c>
      <c r="E37" s="64">
        <f t="shared" si="4"/>
        <v>155</v>
      </c>
      <c r="F37" s="48"/>
      <c r="G37" s="64">
        <f>('provider community calcs'!D37*'dashboard and results'!$D$28)*(1+'dashboard and results'!$D$27)^A37</f>
        <v>348.13465596473122</v>
      </c>
      <c r="H37" s="64">
        <f>'revised water usage matrix'!AB41</f>
        <v>108.64597622839888</v>
      </c>
      <c r="I37" s="64">
        <f>H37*(1+'dashboard and results'!$D$27)^A37</f>
        <v>112.62544856427255</v>
      </c>
      <c r="J37" s="64">
        <f t="shared" si="2"/>
        <v>235.50920740045868</v>
      </c>
      <c r="K37" s="178"/>
      <c r="L37" s="77">
        <f>G37*325.9*('water provider assumptions'!$C$22*(1+'water provider assumptions'!$C$23)^(A37-$A$13))</f>
        <v>638710.10256160074</v>
      </c>
      <c r="M37" s="77">
        <f>E37*'O&amp;M assumptions'!$B$17</f>
        <v>832350</v>
      </c>
      <c r="N37" s="179">
        <f t="shared" si="0"/>
        <v>1471060.1025616007</v>
      </c>
      <c r="O37" s="179"/>
      <c r="P37" s="77">
        <f>D37*'O&amp;M assumptions'!$O$22*43560</f>
        <v>0</v>
      </c>
      <c r="Q37" s="77">
        <f>IF('dashboard and results'!$D$30&gt;0,'dashboard and results'!$D$30*D37*43560*-1,0)</f>
        <v>0</v>
      </c>
      <c r="R37" s="77">
        <f>I37*325.9*('water provider assumptions'!$C$22*(1+'water provider assumptions'!$C$23)^(A37-$A$13))</f>
        <v>206629.85017734169</v>
      </c>
      <c r="S37" s="82">
        <f>'O&amp;M cost matrix'!AB42</f>
        <v>357163.10483870964</v>
      </c>
      <c r="T37" s="179">
        <f t="shared" si="1"/>
        <v>563792.9550160513</v>
      </c>
    </row>
    <row r="38" spans="1:20" x14ac:dyDescent="0.3">
      <c r="A38" s="177">
        <f t="shared" si="5"/>
        <v>25</v>
      </c>
      <c r="B38" s="48">
        <f t="shared" si="5"/>
        <v>2047</v>
      </c>
      <c r="C38" s="48"/>
      <c r="D38" s="64">
        <f>'provider community calcs'!D38-'provider community calcs'!D37</f>
        <v>0</v>
      </c>
      <c r="E38" s="64">
        <f t="shared" si="4"/>
        <v>155</v>
      </c>
      <c r="F38" s="48"/>
      <c r="G38" s="64">
        <f>('provider community calcs'!D38*'dashboard and results'!$D$28)*(1+'dashboard and results'!$D$27)^A38</f>
        <v>348.65685794867841</v>
      </c>
      <c r="H38" s="64">
        <f>'revised water usage matrix'!AC41</f>
        <v>108.64597622839888</v>
      </c>
      <c r="I38" s="64">
        <f>H38*(1+'dashboard and results'!$D$27)^A38</f>
        <v>112.79438673711898</v>
      </c>
      <c r="J38" s="64">
        <f t="shared" si="2"/>
        <v>235.86247121155941</v>
      </c>
      <c r="K38" s="178"/>
      <c r="L38" s="77">
        <f>G38*325.9*('water provider assumptions'!$C$22*(1+'water provider assumptions'!$C$23)^(A38-$A$13))</f>
        <v>652461.53106975218</v>
      </c>
      <c r="M38" s="77">
        <f>E38*'O&amp;M assumptions'!$B$17</f>
        <v>832350</v>
      </c>
      <c r="N38" s="179">
        <f t="shared" si="0"/>
        <v>1484811.5310697523</v>
      </c>
      <c r="O38" s="179"/>
      <c r="P38" s="77">
        <f>D38*'O&amp;M assumptions'!$O$22*43560</f>
        <v>0</v>
      </c>
      <c r="Q38" s="77">
        <f>IF('dashboard and results'!$D$30&gt;0,'dashboard and results'!$D$30*D38*43560*-1,0)</f>
        <v>0</v>
      </c>
      <c r="R38" s="77">
        <f>I38*325.9*('water provider assumptions'!$C$22*(1+'water provider assumptions'!$C$23)^(A38-$A$13))</f>
        <v>211078.59085165989</v>
      </c>
      <c r="S38" s="82">
        <f>'O&amp;M cost matrix'!AC42</f>
        <v>342586.49193548382</v>
      </c>
      <c r="T38" s="179">
        <f t="shared" si="1"/>
        <v>553665.08278714377</v>
      </c>
    </row>
    <row r="39" spans="1:20" x14ac:dyDescent="0.3">
      <c r="A39" s="177">
        <f t="shared" si="5"/>
        <v>26</v>
      </c>
      <c r="B39" s="48">
        <f t="shared" si="5"/>
        <v>2048</v>
      </c>
      <c r="C39" s="48"/>
      <c r="D39" s="64">
        <f>'provider community calcs'!D39-'provider community calcs'!D38</f>
        <v>0</v>
      </c>
      <c r="E39" s="64">
        <f t="shared" si="4"/>
        <v>155</v>
      </c>
      <c r="F39" s="48"/>
      <c r="G39" s="64">
        <f>('provider community calcs'!D39*'dashboard and results'!$D$28)*(1+'dashboard and results'!$D$27)^A39</f>
        <v>349.17984323560142</v>
      </c>
      <c r="H39" s="64">
        <f>'revised water usage matrix'!AD41</f>
        <v>108.64597622839888</v>
      </c>
      <c r="I39" s="64">
        <f>H39*(1+'dashboard and results'!$D$27)^A39</f>
        <v>112.96357831722467</v>
      </c>
      <c r="J39" s="64">
        <f t="shared" si="2"/>
        <v>236.21626491837674</v>
      </c>
      <c r="K39" s="178"/>
      <c r="L39" s="77">
        <f>G39*325.9*('water provider assumptions'!$C$22*(1+'water provider assumptions'!$C$23)^(A39-$A$13))</f>
        <v>666509.027833684</v>
      </c>
      <c r="M39" s="77">
        <f>E39*'O&amp;M assumptions'!$B$17</f>
        <v>832350</v>
      </c>
      <c r="N39" s="179">
        <f t="shared" si="0"/>
        <v>1498859.0278336839</v>
      </c>
      <c r="O39" s="179"/>
      <c r="P39" s="77">
        <f>D39*'O&amp;M assumptions'!$O$22*43560</f>
        <v>0</v>
      </c>
      <c r="Q39" s="77">
        <f>IF('dashboard and results'!$D$30&gt;0,'dashboard and results'!$D$30*D39*43560*-1,0)</f>
        <v>0</v>
      </c>
      <c r="R39" s="77">
        <f>I39*325.9*('water provider assumptions'!$C$22*(1+'water provider assumptions'!$C$23)^(A39-$A$13))</f>
        <v>215623.1129126962</v>
      </c>
      <c r="S39" s="82">
        <f>'O&amp;M cost matrix'!AD42</f>
        <v>332868.74999999994</v>
      </c>
      <c r="T39" s="179">
        <f t="shared" si="1"/>
        <v>548491.86291269609</v>
      </c>
    </row>
    <row r="40" spans="1:20" x14ac:dyDescent="0.3">
      <c r="A40" s="177">
        <f t="shared" si="5"/>
        <v>27</v>
      </c>
      <c r="B40" s="48">
        <f t="shared" si="5"/>
        <v>2049</v>
      </c>
      <c r="C40" s="48"/>
      <c r="D40" s="64">
        <f>'provider community calcs'!D40-'provider community calcs'!D39</f>
        <v>0</v>
      </c>
      <c r="E40" s="64">
        <f t="shared" si="4"/>
        <v>155</v>
      </c>
      <c r="F40" s="48"/>
      <c r="G40" s="64">
        <f>('provider community calcs'!D40*'dashboard and results'!$D$28)*(1+'dashboard and results'!$D$27)^A40</f>
        <v>349.70361300045482</v>
      </c>
      <c r="H40" s="64">
        <f>'revised water usage matrix'!AE41</f>
        <v>108.64597622839888</v>
      </c>
      <c r="I40" s="64">
        <f>H40*(1+'dashboard and results'!$D$27)^A40</f>
        <v>113.1330236847005</v>
      </c>
      <c r="J40" s="64">
        <f t="shared" si="2"/>
        <v>236.57058931575432</v>
      </c>
      <c r="K40" s="178"/>
      <c r="L40" s="77">
        <f>G40*325.9*('water provider assumptions'!$C$22*(1+'water provider assumptions'!$C$23)^(A40-$A$13))</f>
        <v>680858.96720294317</v>
      </c>
      <c r="M40" s="77">
        <f>E40*'O&amp;M assumptions'!$B$17</f>
        <v>832350</v>
      </c>
      <c r="N40" s="179">
        <f t="shared" si="0"/>
        <v>1513208.9672029433</v>
      </c>
      <c r="O40" s="179"/>
      <c r="P40" s="77">
        <f>D40*'O&amp;M assumptions'!$O$22*43560</f>
        <v>0</v>
      </c>
      <c r="Q40" s="77">
        <f>IF('dashboard and results'!$D$30&gt;0,'dashboard and results'!$D$30*D40*43560*-1,0)</f>
        <v>0</v>
      </c>
      <c r="R40" s="77">
        <f>I40*325.9*('water provider assumptions'!$C$22*(1+'water provider assumptions'!$C$23)^(A40-$A$13))</f>
        <v>220265.47853370651</v>
      </c>
      <c r="S40" s="82">
        <f>'O&amp;M cost matrix'!AE42</f>
        <v>332868.74999999994</v>
      </c>
      <c r="T40" s="179">
        <f t="shared" si="1"/>
        <v>553134.22853370639</v>
      </c>
    </row>
    <row r="41" spans="1:20" x14ac:dyDescent="0.3">
      <c r="A41" s="177">
        <f t="shared" si="5"/>
        <v>28</v>
      </c>
      <c r="B41" s="48">
        <f t="shared" si="5"/>
        <v>2050</v>
      </c>
      <c r="C41" s="48"/>
      <c r="D41" s="64">
        <f>'provider community calcs'!D41-'provider community calcs'!D40</f>
        <v>0</v>
      </c>
      <c r="E41" s="64">
        <f t="shared" si="4"/>
        <v>155</v>
      </c>
      <c r="F41" s="48"/>
      <c r="G41" s="64">
        <f>('provider community calcs'!D41*'dashboard and results'!$D$28)*(1+'dashboard and results'!$D$27)^A41</f>
        <v>350.22816841995558</v>
      </c>
      <c r="H41" s="64">
        <f>'revised water usage matrix'!AF41</f>
        <v>108.64597622839888</v>
      </c>
      <c r="I41" s="64">
        <f>H41*(1+'dashboard and results'!$D$27)^A41</f>
        <v>113.30272322022759</v>
      </c>
      <c r="J41" s="64">
        <f t="shared" si="2"/>
        <v>236.92544519972799</v>
      </c>
      <c r="K41" s="178"/>
      <c r="L41" s="77">
        <f>G41*325.9*('water provider assumptions'!$C$22*(1+'water provider assumptions'!$C$23)^(A41-$A$13))</f>
        <v>695517.86076682271</v>
      </c>
      <c r="M41" s="77">
        <f>E41*'O&amp;M assumptions'!$B$17</f>
        <v>832350</v>
      </c>
      <c r="N41" s="179">
        <f t="shared" si="0"/>
        <v>1527867.8607668227</v>
      </c>
      <c r="O41" s="179"/>
      <c r="P41" s="77">
        <f>D41*'O&amp;M assumptions'!$O$22*43560</f>
        <v>0</v>
      </c>
      <c r="Q41" s="77">
        <f>IF('dashboard and results'!$D$30&gt;0,'dashboard and results'!$D$30*D41*43560*-1,0)</f>
        <v>0</v>
      </c>
      <c r="R41" s="77">
        <f>I41*325.9*('water provider assumptions'!$C$22*(1+'water provider assumptions'!$C$23)^(A41-$A$13))</f>
        <v>225007.7942865373</v>
      </c>
      <c r="S41" s="82">
        <f>'O&amp;M cost matrix'!AF42</f>
        <v>332868.74999999994</v>
      </c>
      <c r="T41" s="179">
        <f t="shared" si="1"/>
        <v>557876.54428653722</v>
      </c>
    </row>
    <row r="42" spans="1:20" x14ac:dyDescent="0.3">
      <c r="A42" s="177">
        <f t="shared" si="5"/>
        <v>29</v>
      </c>
      <c r="B42" s="48">
        <f t="shared" si="5"/>
        <v>2051</v>
      </c>
      <c r="C42" s="48"/>
      <c r="D42" s="64">
        <f>'provider community calcs'!D42-'provider community calcs'!D41</f>
        <v>0</v>
      </c>
      <c r="E42" s="64">
        <f t="shared" si="4"/>
        <v>155</v>
      </c>
      <c r="F42" s="48"/>
      <c r="G42" s="64">
        <f>('provider community calcs'!D42*'dashboard and results'!$D$28)*(1+'dashboard and results'!$D$27)^A42</f>
        <v>350.75351067258555</v>
      </c>
      <c r="H42" s="64">
        <f>'revised water usage matrix'!AG41</f>
        <v>108.64597622839888</v>
      </c>
      <c r="I42" s="64">
        <f>H42*(1+'dashboard and results'!$D$27)^A42</f>
        <v>113.47267730505793</v>
      </c>
      <c r="J42" s="64">
        <f t="shared" si="2"/>
        <v>237.28083336752763</v>
      </c>
      <c r="K42" s="178"/>
      <c r="L42" s="77">
        <f>G42*325.9*('water provider assumptions'!$C$22*(1+'water provider assumptions'!$C$23)^(A42-$A$13))</f>
        <v>710492.36030913249</v>
      </c>
      <c r="M42" s="77">
        <f>E42*'O&amp;M assumptions'!$B$17</f>
        <v>832350</v>
      </c>
      <c r="N42" s="179">
        <f t="shared" si="0"/>
        <v>1542842.3603091324</v>
      </c>
      <c r="O42" s="179"/>
      <c r="P42" s="77">
        <f>D42*'O&amp;M assumptions'!$O$22*43560</f>
        <v>0</v>
      </c>
      <c r="Q42" s="77">
        <f>IF('dashboard and results'!$D$30&gt;0,'dashboard and results'!$D$30*D42*43560*-1,0)</f>
        <v>0</v>
      </c>
      <c r="R42" s="77">
        <f>I42*325.9*('water provider assumptions'!$C$22*(1+'water provider assumptions'!$C$23)^(A42-$A$13))</f>
        <v>229852.21209752644</v>
      </c>
      <c r="S42" s="82">
        <f>'O&amp;M cost matrix'!AG42</f>
        <v>352304.23387096764</v>
      </c>
      <c r="T42" s="179">
        <f t="shared" si="1"/>
        <v>582156.44596849405</v>
      </c>
    </row>
    <row r="43" spans="1:20" x14ac:dyDescent="0.3">
      <c r="D43" s="22">
        <f>SUM(D13:D42)</f>
        <v>155</v>
      </c>
      <c r="N43" s="165">
        <f>SUM(N13:N42)</f>
        <v>37442508.839661703</v>
      </c>
      <c r="T43" s="155">
        <f>SUM(T13:T42)</f>
        <v>36354921.811154202</v>
      </c>
    </row>
    <row r="44" spans="1:20" x14ac:dyDescent="0.3">
      <c r="F44" s="166" t="s">
        <v>201</v>
      </c>
      <c r="I44" s="167"/>
      <c r="J44" s="167">
        <f>SUM(J13:J43)</f>
        <v>6290.4682752409999</v>
      </c>
      <c r="L44" s="168" t="s">
        <v>202</v>
      </c>
      <c r="N44" s="168">
        <f>NPV(0.03,N13:N42)</f>
        <v>23035334.629306912</v>
      </c>
      <c r="Q44" s="168"/>
      <c r="R44" s="168" t="s">
        <v>202</v>
      </c>
      <c r="S44" s="169"/>
      <c r="T44" s="168">
        <f>NPV(0.03,T13:T42)</f>
        <v>28579980.254853137</v>
      </c>
    </row>
    <row r="45" spans="1:20" ht="17.25" thickBot="1" x14ac:dyDescent="0.35">
      <c r="A45" s="157"/>
      <c r="B45" s="33"/>
      <c r="C45" s="33"/>
      <c r="D45" s="158"/>
      <c r="E45" s="158"/>
      <c r="F45" s="33"/>
      <c r="G45" s="159"/>
      <c r="H45" s="159"/>
      <c r="I45" s="159"/>
      <c r="J45" s="158"/>
      <c r="K45" s="33"/>
      <c r="L45" s="160"/>
      <c r="M45" s="160"/>
      <c r="N45" s="33"/>
      <c r="O45" s="33"/>
      <c r="P45" s="33"/>
      <c r="Q45" s="33"/>
      <c r="R45" s="33"/>
      <c r="S45" s="161"/>
      <c r="T45" s="33"/>
    </row>
  </sheetData>
  <mergeCells count="2">
    <mergeCell ref="L11:N11"/>
    <mergeCell ref="P11:T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98628-A9C1-4B4E-9CC0-E8385702D734}">
  <sheetPr>
    <tabColor theme="2" tint="-9.9978637043366805E-2"/>
  </sheetPr>
  <dimension ref="A8:Q45"/>
  <sheetViews>
    <sheetView topLeftCell="A2" workbookViewId="0">
      <selection activeCell="L11" sqref="L11"/>
    </sheetView>
  </sheetViews>
  <sheetFormatPr defaultColWidth="8.85546875" defaultRowHeight="16.5" x14ac:dyDescent="0.3"/>
  <cols>
    <col min="1" max="1" width="3.140625" style="154" customWidth="1"/>
    <col min="2" max="2" width="8.85546875" style="2"/>
    <col min="3" max="3" width="4.42578125" style="2" customWidth="1"/>
    <col min="4" max="4" width="15.7109375" style="22" customWidth="1"/>
    <col min="5" max="5" width="13.42578125" style="22" customWidth="1"/>
    <col min="6" max="6" width="7.140625" style="2" customWidth="1"/>
    <col min="7" max="7" width="13.7109375" style="2" customWidth="1"/>
    <col min="8" max="10" width="15.42578125" style="2" customWidth="1"/>
    <col min="11" max="11" width="13.7109375" style="180" customWidth="1"/>
    <col min="12" max="12" width="7.42578125" style="2" customWidth="1"/>
    <col min="13" max="13" width="17.140625" style="2" customWidth="1"/>
    <col min="14" max="15" width="16.28515625" style="21" customWidth="1"/>
    <col min="16" max="16" width="14.85546875" style="2" customWidth="1"/>
    <col min="17" max="17" width="5.42578125" style="2" customWidth="1"/>
    <col min="18" max="16384" width="8.85546875" style="2"/>
  </cols>
  <sheetData>
    <row r="8" spans="1:17" x14ac:dyDescent="0.3">
      <c r="A8" s="170" t="s">
        <v>186</v>
      </c>
      <c r="B8" s="93"/>
      <c r="C8" s="93"/>
      <c r="D8" s="171"/>
      <c r="E8" s="171"/>
      <c r="F8" s="93"/>
    </row>
    <row r="10" spans="1:17" ht="17.25" thickBot="1" x14ac:dyDescent="0.35">
      <c r="A10" s="157"/>
      <c r="B10" s="33"/>
      <c r="C10" s="33"/>
      <c r="D10" s="158"/>
      <c r="E10" s="158"/>
      <c r="F10" s="33"/>
      <c r="G10" s="33"/>
      <c r="H10" s="33"/>
      <c r="I10" s="33"/>
      <c r="J10" s="33"/>
      <c r="K10" s="181"/>
      <c r="L10" s="33"/>
      <c r="M10" s="33"/>
      <c r="N10" s="160"/>
      <c r="O10" s="160"/>
      <c r="P10" s="33"/>
    </row>
    <row r="11" spans="1:17" x14ac:dyDescent="0.3">
      <c r="G11" s="207" t="s">
        <v>203</v>
      </c>
      <c r="H11" s="207"/>
      <c r="I11" s="207"/>
      <c r="J11" s="207"/>
      <c r="K11" s="207"/>
      <c r="M11" s="206" t="s">
        <v>204</v>
      </c>
      <c r="N11" s="206"/>
      <c r="O11" s="206"/>
      <c r="P11" s="206"/>
    </row>
    <row r="12" spans="1:17" ht="115.5" x14ac:dyDescent="0.3">
      <c r="A12" s="162"/>
      <c r="B12" s="6"/>
      <c r="C12" s="6"/>
      <c r="D12" s="172" t="s">
        <v>205</v>
      </c>
      <c r="E12" s="172" t="s">
        <v>206</v>
      </c>
      <c r="F12" s="164"/>
      <c r="G12" s="75" t="s">
        <v>207</v>
      </c>
      <c r="H12" s="75" t="s">
        <v>208</v>
      </c>
      <c r="I12" s="75" t="s">
        <v>218</v>
      </c>
      <c r="J12" s="182" t="s">
        <v>209</v>
      </c>
      <c r="K12" s="183" t="s">
        <v>210</v>
      </c>
      <c r="L12" s="6"/>
      <c r="M12" s="184" t="s">
        <v>211</v>
      </c>
      <c r="N12" s="163" t="s">
        <v>212</v>
      </c>
      <c r="O12" s="163" t="s">
        <v>213</v>
      </c>
      <c r="P12" s="25" t="s">
        <v>214</v>
      </c>
      <c r="Q12" s="164"/>
    </row>
    <row r="13" spans="1:17" x14ac:dyDescent="0.3">
      <c r="A13" s="177">
        <v>0</v>
      </c>
      <c r="B13" s="48">
        <v>2022</v>
      </c>
      <c r="C13" s="48"/>
      <c r="D13" s="64">
        <f>'dashboard and results'!D24</f>
        <v>20</v>
      </c>
      <c r="E13" s="64">
        <f>'business decision calcs'!J13</f>
        <v>24.059196778567774</v>
      </c>
      <c r="F13" s="48"/>
      <c r="G13" s="185">
        <f>E13*325.9*'water provider assumptions'!$C$22*(1+'water provider assumptions'!$C$23)^'provider community calcs'!A13</f>
        <v>27443.122805473329</v>
      </c>
      <c r="H13" s="179">
        <f>$D$13*'dashboard and results'!$D$30*43560</f>
        <v>871200</v>
      </c>
      <c r="I13" s="195">
        <f>'dashboard and results'!$D$31*-1</f>
        <v>0</v>
      </c>
      <c r="J13" s="179">
        <f>SUM(H13:I13)</f>
        <v>871200</v>
      </c>
      <c r="K13" s="186">
        <f>G13/('water provider assumptions'!$C$25*(1+'water provider assumptions'!$C$26+'water provider assumptions'!$C$28)^A13)</f>
        <v>9.1477076018244431E-4</v>
      </c>
      <c r="L13" s="165"/>
      <c r="M13" s="179">
        <f>E13*325.9*'water provider assumptions'!$C$20</f>
        <v>31363.568920540947</v>
      </c>
      <c r="N13" s="77">
        <f>('water provider assumptions'!$C$14*(1+'water provider assumptions'!$C$18)^A13)*E13*325.9</f>
        <v>30687.059987068365</v>
      </c>
      <c r="O13" s="77">
        <f>E13*'water provider assumptions'!$C$16</f>
        <v>0</v>
      </c>
      <c r="P13" s="179">
        <f>SUM(M13:O13)</f>
        <v>62050.628907609309</v>
      </c>
      <c r="Q13" s="165"/>
    </row>
    <row r="14" spans="1:17" x14ac:dyDescent="0.3">
      <c r="A14" s="177">
        <f>A13+1</f>
        <v>1</v>
      </c>
      <c r="B14" s="48">
        <f>B13+1</f>
        <v>2023</v>
      </c>
      <c r="C14" s="48"/>
      <c r="D14" s="64">
        <f>IF((D13+'dashboard and results'!$D$25)&lt;'dashboard and results'!$D$26,(D13+'dashboard and results'!$D$25),'dashboard and results'!$D$26)</f>
        <v>45</v>
      </c>
      <c r="E14" s="64">
        <f>'business decision calcs'!J14</f>
        <v>60.045707057034186</v>
      </c>
      <c r="F14" s="48"/>
      <c r="G14" s="185">
        <f>E14*325.9*'water provider assumptions'!$C$22*(1+'water provider assumptions'!$C$23)^'provider community calcs'!A14</f>
        <v>69860.958469698162</v>
      </c>
      <c r="H14" s="179">
        <f>IF(D14-D13&gt;0,'dashboard and results'!$D$30*43560*(D14-D13),0)</f>
        <v>1089000</v>
      </c>
      <c r="I14" s="179"/>
      <c r="J14" s="179">
        <f t="shared" ref="J14:J42" si="0">SUM(H14)</f>
        <v>1089000</v>
      </c>
      <c r="K14" s="186">
        <f>G14/('water provider assumptions'!$C$25*(1+'water provider assumptions'!$C$26+'water provider assumptions'!$C$28)^A14)</f>
        <v>2.2608724423850536E-3</v>
      </c>
      <c r="L14" s="165"/>
      <c r="M14" s="179">
        <f>E14*325.9*'water provider assumptions'!$C$20</f>
        <v>78275.583719549759</v>
      </c>
      <c r="N14" s="77">
        <f>('water provider assumptions'!$C$14*(1+'water provider assumptions'!$C$18)^A14)*E14*325.9</f>
        <v>78118.93123497405</v>
      </c>
      <c r="O14" s="77">
        <f>E14*'water provider assumptions'!$C$16</f>
        <v>0</v>
      </c>
      <c r="P14" s="179">
        <f t="shared" ref="P14:P42" si="1">SUM(M14:O14)</f>
        <v>156394.51495452382</v>
      </c>
      <c r="Q14" s="165"/>
    </row>
    <row r="15" spans="1:17" x14ac:dyDescent="0.3">
      <c r="A15" s="177">
        <f t="shared" ref="A15:B30" si="2">A14+1</f>
        <v>2</v>
      </c>
      <c r="B15" s="48">
        <f t="shared" si="2"/>
        <v>2024</v>
      </c>
      <c r="C15" s="48"/>
      <c r="D15" s="64">
        <f>IF((D14+'dashboard and results'!$D$25)&lt;'dashboard and results'!$D$26,(D14+'dashboard and results'!$D$25),'dashboard and results'!$D$26)</f>
        <v>70</v>
      </c>
      <c r="E15" s="64">
        <f>'business decision calcs'!J15</f>
        <v>97.031212421502232</v>
      </c>
      <c r="F15" s="48"/>
      <c r="G15" s="185">
        <f>E15*325.9*'water provider assumptions'!$C$22*(1+'water provider assumptions'!$C$23)^'provider community calcs'!A15</f>
        <v>115150.07000750941</v>
      </c>
      <c r="H15" s="179">
        <f>IF(D15-D14&gt;0,'dashboard and results'!$D$30*43560*(D15-D14),0)</f>
        <v>1089000</v>
      </c>
      <c r="I15" s="179"/>
      <c r="J15" s="179">
        <f t="shared" si="0"/>
        <v>1089000</v>
      </c>
      <c r="K15" s="186">
        <f>G15/('water provider assumptions'!$C$25*(1+'water provider assumptions'!$C$26+'water provider assumptions'!$C$28)^A15)</f>
        <v>3.6179994975181263E-3</v>
      </c>
      <c r="L15" s="165"/>
      <c r="M15" s="179">
        <f>E15*325.9*'water provider assumptions'!$C$20</f>
        <v>126489.8885126703</v>
      </c>
      <c r="N15" s="77">
        <f>('water provider assumptions'!$C$14*(1+'water provider assumptions'!$C$18)^A15)*E15*325.9</f>
        <v>128761.47991185643</v>
      </c>
      <c r="O15" s="77">
        <f>E15*'water provider assumptions'!$C$16</f>
        <v>0</v>
      </c>
      <c r="P15" s="179">
        <f t="shared" si="1"/>
        <v>255251.36842452671</v>
      </c>
      <c r="Q15" s="165"/>
    </row>
    <row r="16" spans="1:17" x14ac:dyDescent="0.3">
      <c r="A16" s="177">
        <f t="shared" si="2"/>
        <v>3</v>
      </c>
      <c r="B16" s="48">
        <f t="shared" si="2"/>
        <v>2025</v>
      </c>
      <c r="C16" s="48"/>
      <c r="D16" s="64">
        <f>IF((D15+'dashboard and results'!$D$25)&lt;'dashboard and results'!$D$26,(D15+'dashboard and results'!$D$25),'dashboard and results'!$D$26)</f>
        <v>95</v>
      </c>
      <c r="E16" s="64">
        <f>'business decision calcs'!J16</f>
        <v>133.98509443118724</v>
      </c>
      <c r="F16" s="48"/>
      <c r="G16" s="185">
        <f>E16*325.9*'water provider assumptions'!$C$22*(1+'water provider assumptions'!$C$23)^'provider community calcs'!A16</f>
        <v>162184.52259904894</v>
      </c>
      <c r="H16" s="179">
        <f>IF(D16-D15&gt;0,'dashboard and results'!$D$30*43560*(D16-D15),0)</f>
        <v>1089000</v>
      </c>
      <c r="I16" s="179"/>
      <c r="J16" s="179">
        <f t="shared" si="0"/>
        <v>1089000</v>
      </c>
      <c r="K16" s="186">
        <f>G16/('water provider assumptions'!$C$25*(1+'water provider assumptions'!$C$26+'water provider assumptions'!$C$28)^A16)</f>
        <v>4.9473937710897888E-3</v>
      </c>
      <c r="L16" s="165"/>
      <c r="M16" s="179">
        <f>E16*325.9*'water provider assumptions'!$C$20</f>
        <v>174662.96910049565</v>
      </c>
      <c r="N16" s="77">
        <f>('water provider assumptions'!$C$14*(1+'water provider assumptions'!$C$18)^A16)*E16*325.9</f>
        <v>181355.67913497222</v>
      </c>
      <c r="O16" s="77">
        <f>E16*'water provider assumptions'!$C$16</f>
        <v>0</v>
      </c>
      <c r="P16" s="179">
        <f t="shared" si="1"/>
        <v>356018.64823546784</v>
      </c>
      <c r="Q16" s="165"/>
    </row>
    <row r="17" spans="1:17" x14ac:dyDescent="0.3">
      <c r="A17" s="177">
        <f t="shared" si="2"/>
        <v>4</v>
      </c>
      <c r="B17" s="48">
        <f t="shared" si="2"/>
        <v>2026</v>
      </c>
      <c r="C17" s="48"/>
      <c r="D17" s="64">
        <f>IF((D16+'dashboard and results'!$D$25)&lt;'dashboard and results'!$D$26,(D16+'dashboard and results'!$D$25),'dashboard and results'!$D$26)</f>
        <v>120</v>
      </c>
      <c r="E17" s="64">
        <f>'business decision calcs'!J17</f>
        <v>171.04961976667332</v>
      </c>
      <c r="F17" s="48"/>
      <c r="G17" s="185">
        <f>E17*325.9*'water provider assumptions'!$C$22*(1+'water provider assumptions'!$C$23)^'provider community calcs'!A17</f>
        <v>211190.90195209382</v>
      </c>
      <c r="H17" s="179">
        <f>IF(D17-D16&gt;0,'dashboard and results'!$D$30*43560*(D17-D16),0)</f>
        <v>1089000</v>
      </c>
      <c r="I17" s="179"/>
      <c r="J17" s="179">
        <f t="shared" si="0"/>
        <v>1089000</v>
      </c>
      <c r="K17" s="186">
        <f>G17/('water provider assumptions'!$C$25*(1+'water provider assumptions'!$C$26+'water provider assumptions'!$C$28)^A17)</f>
        <v>6.2546793674022518E-3</v>
      </c>
      <c r="L17" s="165"/>
      <c r="M17" s="179">
        <f>E17*325.9*'water provider assumptions'!$C$20</f>
        <v>222980.28432783531</v>
      </c>
      <c r="N17" s="77">
        <f>('water provider assumptions'!$C$14*(1+'water provider assumptions'!$C$18)^A17)*E17*325.9</f>
        <v>236154.89836435168</v>
      </c>
      <c r="O17" s="77">
        <f>E17*'water provider assumptions'!$C$16</f>
        <v>0</v>
      </c>
      <c r="P17" s="179">
        <f t="shared" si="1"/>
        <v>459135.18269218702</v>
      </c>
      <c r="Q17" s="165"/>
    </row>
    <row r="18" spans="1:17" x14ac:dyDescent="0.3">
      <c r="A18" s="177">
        <f t="shared" si="2"/>
        <v>5</v>
      </c>
      <c r="B18" s="48">
        <f t="shared" si="2"/>
        <v>2027</v>
      </c>
      <c r="C18" s="48"/>
      <c r="D18" s="64">
        <f>IF((D17+'dashboard and results'!$D$25)&lt;'dashboard and results'!$D$26,(D17+'dashboard and results'!$D$25),'dashboard and results'!$D$26)</f>
        <v>145</v>
      </c>
      <c r="E18" s="64">
        <f>'business decision calcs'!J18</f>
        <v>208.22503721170347</v>
      </c>
      <c r="F18" s="48"/>
      <c r="G18" s="185">
        <f>E18*325.9*'water provider assumptions'!$C$22*(1+'water provider assumptions'!$C$23)^'provider community calcs'!A18</f>
        <v>262232.31684050924</v>
      </c>
      <c r="H18" s="179">
        <f>IF(D18-D17&gt;0,'dashboard and results'!$D$30*43560*(D18-D17),0)</f>
        <v>1089000</v>
      </c>
      <c r="I18" s="179"/>
      <c r="J18" s="179">
        <f t="shared" si="0"/>
        <v>1089000</v>
      </c>
      <c r="K18" s="186">
        <f>G18/('water provider assumptions'!$C$25*(1+'water provider assumptions'!$C$26+'water provider assumptions'!$C$28)^A18)</f>
        <v>7.5401300018678218E-3</v>
      </c>
      <c r="L18" s="165"/>
      <c r="M18" s="179">
        <f>E18*325.9*'water provider assumptions'!$C$20</f>
        <v>271442.15850917663</v>
      </c>
      <c r="N18" s="77">
        <f>('water provider assumptions'!$C$14*(1+'water provider assumptions'!$C$18)^A18)*E18*325.9</f>
        <v>293229.70619902201</v>
      </c>
      <c r="O18" s="77">
        <f>E18*'water provider assumptions'!$C$16</f>
        <v>0</v>
      </c>
      <c r="P18" s="179">
        <f t="shared" si="1"/>
        <v>564671.8647081987</v>
      </c>
      <c r="Q18" s="165"/>
    </row>
    <row r="19" spans="1:17" x14ac:dyDescent="0.3">
      <c r="A19" s="177">
        <f t="shared" si="2"/>
        <v>6</v>
      </c>
      <c r="B19" s="48">
        <f t="shared" si="2"/>
        <v>2028</v>
      </c>
      <c r="C19" s="48"/>
      <c r="D19" s="64">
        <f>IF((D18+'dashboard and results'!$D$25)&lt;'dashboard and results'!$D$26,(D18+'dashboard and results'!$D$25),'dashboard and results'!$D$26)</f>
        <v>155</v>
      </c>
      <c r="E19" s="64">
        <f>'business decision calcs'!J19</f>
        <v>227.3041886674566</v>
      </c>
      <c r="F19" s="48"/>
      <c r="G19" s="185">
        <f>E19*325.9*'water provider assumptions'!$C$22*(1+'water provider assumptions'!$C$23)^'provider community calcs'!A19</f>
        <v>291985.22385394742</v>
      </c>
      <c r="H19" s="179">
        <f>IF(D19-D18&gt;0,'dashboard and results'!$D$30*43560*(D19-D18),0)</f>
        <v>435600</v>
      </c>
      <c r="I19" s="179"/>
      <c r="J19" s="179">
        <f t="shared" si="0"/>
        <v>435600</v>
      </c>
      <c r="K19" s="186">
        <f>G19/('water provider assumptions'!$C$25*(1+'water provider assumptions'!$C$26+'water provider assumptions'!$C$28)^A19)</f>
        <v>8.1511009387311185E-3</v>
      </c>
      <c r="L19" s="165"/>
      <c r="M19" s="179">
        <f>E19*325.9*'water provider assumptions'!$C$20</f>
        <v>296313.7403468964</v>
      </c>
      <c r="N19" s="77">
        <f>('water provider assumptions'!$C$14*(1+'water provider assumptions'!$C$18)^A19)*E19*325.9</f>
        <v>326499.58035958756</v>
      </c>
      <c r="O19" s="77">
        <f>E19*'water provider assumptions'!$C$16</f>
        <v>0</v>
      </c>
      <c r="P19" s="179">
        <f t="shared" si="1"/>
        <v>622813.32070648391</v>
      </c>
      <c r="Q19" s="165"/>
    </row>
    <row r="20" spans="1:17" x14ac:dyDescent="0.3">
      <c r="A20" s="177">
        <f t="shared" si="2"/>
        <v>7</v>
      </c>
      <c r="B20" s="48">
        <f t="shared" si="2"/>
        <v>2029</v>
      </c>
      <c r="C20" s="48"/>
      <c r="D20" s="64">
        <f>IF((D19+'dashboard and results'!$D$25)&lt;'dashboard and results'!$D$26,(D19+'dashboard and results'!$D$25),'dashboard and results'!$D$26)</f>
        <v>155</v>
      </c>
      <c r="E20" s="64">
        <f>'business decision calcs'!J20</f>
        <v>229.87063491644642</v>
      </c>
      <c r="F20" s="48"/>
      <c r="G20" s="185">
        <f>E20*325.9*'water provider assumptions'!$C$22*(1+'water provider assumptions'!$C$23)^'provider community calcs'!A20</f>
        <v>301187.61018326908</v>
      </c>
      <c r="H20" s="179">
        <f>IF(D20-D19&gt;0,'dashboard and results'!$D$30*43560*(D20-D19),0)</f>
        <v>0</v>
      </c>
      <c r="I20" s="179"/>
      <c r="J20" s="179">
        <f t="shared" si="0"/>
        <v>0</v>
      </c>
      <c r="K20" s="186">
        <f>G20/('water provider assumptions'!$C$25*(1+'water provider assumptions'!$C$26+'water provider assumptions'!$C$28)^A20)</f>
        <v>8.1631029720602381E-3</v>
      </c>
      <c r="L20" s="165"/>
      <c r="M20" s="179">
        <f>E20*325.9*'water provider assumptions'!$C$20</f>
        <v>299659.35967707954</v>
      </c>
      <c r="N20" s="77">
        <f>('water provider assumptions'!$C$14*(1+'water provider assumptions'!$C$18)^A20)*E20*325.9</f>
        <v>336789.74242728594</v>
      </c>
      <c r="O20" s="77">
        <f>E20*'water provider assumptions'!$C$16</f>
        <v>0</v>
      </c>
      <c r="P20" s="179">
        <f t="shared" si="1"/>
        <v>636449.10210436548</v>
      </c>
      <c r="Q20" s="165"/>
    </row>
    <row r="21" spans="1:17" x14ac:dyDescent="0.3">
      <c r="A21" s="177">
        <f t="shared" si="2"/>
        <v>8</v>
      </c>
      <c r="B21" s="48">
        <f t="shared" si="2"/>
        <v>2030</v>
      </c>
      <c r="C21" s="48"/>
      <c r="D21" s="64">
        <f>IF((D20+'dashboard and results'!$D$25)&lt;'dashboard and results'!$D$26,(D20+'dashboard and results'!$D$25),'dashboard and results'!$D$26)</f>
        <v>155</v>
      </c>
      <c r="E21" s="64">
        <f>'business decision calcs'!J21</f>
        <v>229.92840824159268</v>
      </c>
      <c r="F21" s="48"/>
      <c r="G21" s="185">
        <f>E21*325.9*'water provider assumptions'!$C$22*(1+'water provider assumptions'!$C$23)^'provider community calcs'!A21</f>
        <v>307288.57373641484</v>
      </c>
      <c r="H21" s="179">
        <f>IF(D21-D20&gt;0,'dashboard and results'!$D$30*43560*(D21-D20),0)</f>
        <v>0</v>
      </c>
      <c r="I21" s="179"/>
      <c r="J21" s="179">
        <f t="shared" si="0"/>
        <v>0</v>
      </c>
      <c r="K21" s="186">
        <f>G21/('water provider assumptions'!$C$25*(1+'water provider assumptions'!$C$26+'water provider assumptions'!$C$28)^A21)</f>
        <v>8.0858812568894885E-3</v>
      </c>
      <c r="L21" s="165"/>
      <c r="M21" s="179">
        <f>E21*325.9*'water provider assumptions'!$C$20</f>
        <v>299734.67298374017</v>
      </c>
      <c r="N21" s="77">
        <f>('water provider assumptions'!$C$14*(1+'water provider assumptions'!$C$18)^A21)*E21*325.9</f>
        <v>343611.87545716704</v>
      </c>
      <c r="O21" s="77">
        <f>E21*'water provider assumptions'!$C$16</f>
        <v>0</v>
      </c>
      <c r="P21" s="179">
        <f t="shared" si="1"/>
        <v>643346.54844090715</v>
      </c>
      <c r="Q21" s="165"/>
    </row>
    <row r="22" spans="1:17" x14ac:dyDescent="0.3">
      <c r="A22" s="177">
        <f t="shared" si="2"/>
        <v>9</v>
      </c>
      <c r="B22" s="48">
        <f t="shared" si="2"/>
        <v>2031</v>
      </c>
      <c r="C22" s="48"/>
      <c r="D22" s="64">
        <f>IF((D21+'dashboard and results'!$D$25)&lt;'dashboard and results'!$D$26,(D21+'dashboard and results'!$D$25),'dashboard and results'!$D$26)</f>
        <v>155</v>
      </c>
      <c r="E22" s="64">
        <f>'business decision calcs'!J22</f>
        <v>230.27330085395508</v>
      </c>
      <c r="F22" s="48"/>
      <c r="G22" s="185">
        <f>E22*325.9*'water provider assumptions'!$C$22*(1+'water provider assumptions'!$C$23)^'provider community calcs'!A22</f>
        <v>313904.49672895984</v>
      </c>
      <c r="H22" s="179">
        <f>IF(D22-D21&gt;0,'dashboard and results'!$D$30*43560*(D22-D21),0)</f>
        <v>0</v>
      </c>
      <c r="I22" s="179"/>
      <c r="J22" s="179">
        <f t="shared" si="0"/>
        <v>0</v>
      </c>
      <c r="K22" s="186">
        <f>G22/('water provider assumptions'!$C$25*(1+'water provider assumptions'!$C$26+'water provider assumptions'!$C$28)^A22)</f>
        <v>8.0193886216993384E-3</v>
      </c>
      <c r="L22" s="165"/>
      <c r="M22" s="179">
        <f>E22*325.9*'water provider assumptions'!$C$20</f>
        <v>300184.2749932158</v>
      </c>
      <c r="N22" s="77">
        <f>('water provider assumptions'!$C$14*(1+'water provider assumptions'!$C$18)^A22)*E22*325.9</f>
        <v>351009.83913575986</v>
      </c>
      <c r="O22" s="77">
        <f>E22*'water provider assumptions'!$C$16</f>
        <v>0</v>
      </c>
      <c r="P22" s="179">
        <f t="shared" si="1"/>
        <v>651194.11412897566</v>
      </c>
      <c r="Q22" s="165"/>
    </row>
    <row r="23" spans="1:17" x14ac:dyDescent="0.3">
      <c r="A23" s="177">
        <f t="shared" si="2"/>
        <v>10</v>
      </c>
      <c r="B23" s="48">
        <f t="shared" si="2"/>
        <v>2032</v>
      </c>
      <c r="C23" s="48"/>
      <c r="D23" s="64">
        <f>IF((D22+'dashboard and results'!$D$25)&lt;'dashboard and results'!$D$26,(D22+'dashboard and results'!$D$25),'dashboard and results'!$D$26)</f>
        <v>155</v>
      </c>
      <c r="E23" s="64">
        <f>'business decision calcs'!J23</f>
        <v>230.61871080523605</v>
      </c>
      <c r="F23" s="48"/>
      <c r="G23" s="185">
        <f>E23*325.9*'water provider assumptions'!$C$22*(1+'water provider assumptions'!$C$23)^'provider community calcs'!A23</f>
        <v>320662.86054353445</v>
      </c>
      <c r="H23" s="179">
        <f>IF(D23-D22&gt;0,'dashboard and results'!$D$30*43560*(D23-D22),0)</f>
        <v>0</v>
      </c>
      <c r="I23" s="179"/>
      <c r="J23" s="179">
        <f t="shared" si="0"/>
        <v>0</v>
      </c>
      <c r="K23" s="186">
        <f>G23/('water provider assumptions'!$C$25*(1+'water provider assumptions'!$C$26+'water provider assumptions'!$C$28)^A23)</f>
        <v>7.9534427754607059E-3</v>
      </c>
      <c r="L23" s="165"/>
      <c r="M23" s="179">
        <f>E23*325.9*'water provider assumptions'!$C$20</f>
        <v>300634.55140570569</v>
      </c>
      <c r="N23" s="77">
        <f>('water provider assumptions'!$C$14*(1+'water provider assumptions'!$C$18)^A23)*E23*325.9</f>
        <v>358567.08097235288</v>
      </c>
      <c r="O23" s="77">
        <f>E23*'water provider assumptions'!$C$16</f>
        <v>0</v>
      </c>
      <c r="P23" s="179">
        <f t="shared" si="1"/>
        <v>659201.63237805851</v>
      </c>
      <c r="Q23" s="165"/>
    </row>
    <row r="24" spans="1:17" x14ac:dyDescent="0.3">
      <c r="A24" s="177">
        <f t="shared" si="2"/>
        <v>11</v>
      </c>
      <c r="B24" s="48">
        <f t="shared" si="2"/>
        <v>2033</v>
      </c>
      <c r="C24" s="48"/>
      <c r="D24" s="64">
        <f>IF((D23+'dashboard and results'!$D$25)&lt;'dashboard and results'!$D$26,(D23+'dashboard and results'!$D$25),'dashboard and results'!$D$26)</f>
        <v>155</v>
      </c>
      <c r="E24" s="64">
        <f>'business decision calcs'!J24</f>
        <v>230.96463887144392</v>
      </c>
      <c r="F24" s="48"/>
      <c r="G24" s="185">
        <f>E24*325.9*'water provider assumptions'!$C$22*(1+'water provider assumptions'!$C$23)^'provider community calcs'!A24</f>
        <v>327566.73193103663</v>
      </c>
      <c r="H24" s="179">
        <f>IF(D24-D23&gt;0,'dashboard and results'!$D$30*43560*(D24-D23),0)</f>
        <v>0</v>
      </c>
      <c r="I24" s="179"/>
      <c r="J24" s="179">
        <f t="shared" si="0"/>
        <v>0</v>
      </c>
      <c r="K24" s="186">
        <f>G24/('water provider assumptions'!$C$25*(1+'water provider assumptions'!$C$26+'water provider assumptions'!$C$28)^A24)</f>
        <v>7.8880392217634664E-3</v>
      </c>
      <c r="L24" s="165"/>
      <c r="M24" s="179">
        <f>E24*325.9*'water provider assumptions'!$C$20</f>
        <v>301085.50323281426</v>
      </c>
      <c r="N24" s="77">
        <f>('water provider assumptions'!$C$14*(1+'water provider assumptions'!$C$18)^A24)*E24*325.9</f>
        <v>366287.03022568766</v>
      </c>
      <c r="O24" s="77">
        <f>E24*'water provider assumptions'!$C$16</f>
        <v>0</v>
      </c>
      <c r="P24" s="179">
        <f t="shared" si="1"/>
        <v>667372.53345850192</v>
      </c>
      <c r="Q24" s="165"/>
    </row>
    <row r="25" spans="1:17" x14ac:dyDescent="0.3">
      <c r="A25" s="177">
        <f t="shared" si="2"/>
        <v>12</v>
      </c>
      <c r="B25" s="48">
        <f t="shared" si="2"/>
        <v>2034</v>
      </c>
      <c r="C25" s="48"/>
      <c r="D25" s="64">
        <f>IF((D24+'dashboard and results'!$D$25)&lt;'dashboard and results'!$D$26,(D24+'dashboard and results'!$D$25),'dashboard and results'!$D$26)</f>
        <v>155</v>
      </c>
      <c r="E25" s="64">
        <f>'business decision calcs'!J25</f>
        <v>231.31108582975116</v>
      </c>
      <c r="F25" s="48"/>
      <c r="G25" s="185">
        <f>E25*325.9*'water provider assumptions'!$C$22*(1+'water provider assumptions'!$C$23)^'provider community calcs'!A25</f>
        <v>334619.24366951204</v>
      </c>
      <c r="H25" s="179">
        <f>IF(D25-D24&gt;0,'dashboard and results'!$D$30*43560*(D25-D24),0)</f>
        <v>0</v>
      </c>
      <c r="I25" s="179"/>
      <c r="J25" s="179">
        <f t="shared" si="0"/>
        <v>0</v>
      </c>
      <c r="K25" s="186">
        <f>G25/('water provider assumptions'!$C$25*(1+'water provider assumptions'!$C$26+'water provider assumptions'!$C$28)^A25)</f>
        <v>7.8231735011728559E-3</v>
      </c>
      <c r="L25" s="165"/>
      <c r="M25" s="179">
        <f>E25*325.9*'water provider assumptions'!$C$20</f>
        <v>301537.1314876636</v>
      </c>
      <c r="N25" s="77">
        <f>('water provider assumptions'!$C$14*(1+'water provider assumptions'!$C$18)^A25)*E25*325.9</f>
        <v>374173.18998644681</v>
      </c>
      <c r="O25" s="77">
        <f>E25*'water provider assumptions'!$C$16</f>
        <v>0</v>
      </c>
      <c r="P25" s="179">
        <f t="shared" si="1"/>
        <v>675710.32147411047</v>
      </c>
      <c r="Q25" s="165"/>
    </row>
    <row r="26" spans="1:17" x14ac:dyDescent="0.3">
      <c r="A26" s="177">
        <f t="shared" si="2"/>
        <v>13</v>
      </c>
      <c r="B26" s="48">
        <f t="shared" si="2"/>
        <v>2035</v>
      </c>
      <c r="C26" s="48"/>
      <c r="D26" s="64">
        <f>IF((D25+'dashboard and results'!$D$25)&lt;'dashboard and results'!$D$26,(D25+'dashboard and results'!$D$25),'dashboard and results'!$D$26)</f>
        <v>155</v>
      </c>
      <c r="E26" s="64">
        <f>'business decision calcs'!J26</f>
        <v>231.65805245849577</v>
      </c>
      <c r="F26" s="48"/>
      <c r="G26" s="185">
        <f>E26*325.9*'water provider assumptions'!$C$22*(1+'water provider assumptions'!$C$23)^'provider community calcs'!A26</f>
        <v>341823.59598571667</v>
      </c>
      <c r="H26" s="179">
        <f>IF(D26-D25&gt;0,'dashboard and results'!$D$30*43560*(D26-D25),0)</f>
        <v>0</v>
      </c>
      <c r="I26" s="179"/>
      <c r="J26" s="179">
        <f t="shared" si="0"/>
        <v>0</v>
      </c>
      <c r="K26" s="186">
        <f>G26/('water provider assumptions'!$C$25*(1+'water provider assumptions'!$C$26+'water provider assumptions'!$C$28)^A26)</f>
        <v>7.7588411909253483E-3</v>
      </c>
      <c r="L26" s="165"/>
      <c r="M26" s="179">
        <f>E26*325.9*'water provider assumptions'!$C$20</f>
        <v>301989.4371848951</v>
      </c>
      <c r="N26" s="77">
        <f>('water provider assumptions'!$C$14*(1+'water provider assumptions'!$C$18)^A26)*E26*325.9</f>
        <v>382229.13876685494</v>
      </c>
      <c r="O26" s="77">
        <f>E26*'water provider assumptions'!$C$16</f>
        <v>0</v>
      </c>
      <c r="P26" s="179">
        <f t="shared" si="1"/>
        <v>684218.57595175004</v>
      </c>
      <c r="Q26" s="165"/>
    </row>
    <row r="27" spans="1:17" x14ac:dyDescent="0.3">
      <c r="A27" s="177">
        <f t="shared" si="2"/>
        <v>14</v>
      </c>
      <c r="B27" s="48">
        <f t="shared" si="2"/>
        <v>2036</v>
      </c>
      <c r="C27" s="48"/>
      <c r="D27" s="64">
        <f>IF((D26+'dashboard and results'!$D$25)&lt;'dashboard and results'!$D$26,(D26+'dashboard and results'!$D$25),'dashboard and results'!$D$26)</f>
        <v>155</v>
      </c>
      <c r="E27" s="64">
        <f>'business decision calcs'!J27</f>
        <v>232.00553953718355</v>
      </c>
      <c r="F27" s="48"/>
      <c r="G27" s="185">
        <f>E27*325.9*'water provider assumptions'!$C$22*(1+'water provider assumptions'!$C$23)^'provider community calcs'!A27</f>
        <v>349183.05800728925</v>
      </c>
      <c r="H27" s="179">
        <f>IF(D27-D26&gt;0,'dashboard and results'!$D$30*43560*(D27-D26),0)</f>
        <v>0</v>
      </c>
      <c r="I27" s="179"/>
      <c r="J27" s="179">
        <f t="shared" si="0"/>
        <v>0</v>
      </c>
      <c r="K27" s="186">
        <f>G27/('water provider assumptions'!$C$25*(1+'water provider assumptions'!$C$26+'water provider assumptions'!$C$28)^A27)</f>
        <v>7.6950379046271571E-3</v>
      </c>
      <c r="L27" s="165"/>
      <c r="M27" s="179">
        <f>E27*325.9*'water provider assumptions'!$C$20</f>
        <v>302442.42134067247</v>
      </c>
      <c r="N27" s="77">
        <f>('water provider assumptions'!$C$14*(1+'water provider assumptions'!$C$18)^A27)*E27*325.9</f>
        <v>390458.53212450538</v>
      </c>
      <c r="O27" s="77">
        <f>E27*'water provider assumptions'!$C$16</f>
        <v>0</v>
      </c>
      <c r="P27" s="179">
        <f t="shared" si="1"/>
        <v>692900.95346517791</v>
      </c>
      <c r="Q27" s="165"/>
    </row>
    <row r="28" spans="1:17" x14ac:dyDescent="0.3">
      <c r="A28" s="177">
        <f t="shared" si="2"/>
        <v>15</v>
      </c>
      <c r="B28" s="48">
        <f t="shared" si="2"/>
        <v>2037</v>
      </c>
      <c r="C28" s="48"/>
      <c r="D28" s="64">
        <f>IF((D27+'dashboard and results'!$D$25)&lt;'dashboard and results'!$D$26,(D27+'dashboard and results'!$D$25),'dashboard and results'!$D$26)</f>
        <v>155</v>
      </c>
      <c r="E28" s="64">
        <f>'business decision calcs'!J28</f>
        <v>232.35354784648928</v>
      </c>
      <c r="F28" s="48"/>
      <c r="G28" s="185">
        <f>E28*325.9*'water provider assumptions'!$C$22*(1+'water provider assumptions'!$C$23)^'provider community calcs'!A28</f>
        <v>356700.96924618597</v>
      </c>
      <c r="H28" s="179">
        <f>IF(D28-D27&gt;0,'dashboard and results'!$D$30*43560*(D28-D27),0)</f>
        <v>0</v>
      </c>
      <c r="I28" s="179"/>
      <c r="J28" s="179">
        <f t="shared" si="0"/>
        <v>0</v>
      </c>
      <c r="K28" s="186">
        <f>G28/('water provider assumptions'!$C$25*(1+'water provider assumptions'!$C$26+'water provider assumptions'!$C$28)^A28)</f>
        <v>7.6317592919551208E-3</v>
      </c>
      <c r="L28" s="165"/>
      <c r="M28" s="179">
        <f>E28*325.9*'water provider assumptions'!$C$20</f>
        <v>302896.0849726834</v>
      </c>
      <c r="N28" s="77">
        <f>('water provider assumptions'!$C$14*(1+'water provider assumptions'!$C$18)^A28)*E28*325.9</f>
        <v>398865.10432114586</v>
      </c>
      <c r="O28" s="77">
        <f>E28*'water provider assumptions'!$C$16</f>
        <v>0</v>
      </c>
      <c r="P28" s="179">
        <f t="shared" si="1"/>
        <v>701761.18929382926</v>
      </c>
      <c r="Q28" s="165"/>
    </row>
    <row r="29" spans="1:17" x14ac:dyDescent="0.3">
      <c r="A29" s="177">
        <f t="shared" si="2"/>
        <v>16</v>
      </c>
      <c r="B29" s="48">
        <f t="shared" si="2"/>
        <v>2038</v>
      </c>
      <c r="C29" s="48"/>
      <c r="D29" s="64">
        <f>IF((D28+'dashboard and results'!$D$25)&lt;'dashboard and results'!$D$26,(D28+'dashboard and results'!$D$25),'dashboard and results'!$D$26)</f>
        <v>155</v>
      </c>
      <c r="E29" s="64">
        <f>'business decision calcs'!J29</f>
        <v>232.70207816825916</v>
      </c>
      <c r="F29" s="48"/>
      <c r="G29" s="185">
        <f>E29*325.9*'water provider assumptions'!$C$22*(1+'water provider assumptions'!$C$23)^'provider community calcs'!A29</f>
        <v>364380.74111405661</v>
      </c>
      <c r="H29" s="179">
        <f>IF(D29-D28&gt;0,'dashboard and results'!$D$30*43560*(D29-D28),0)</f>
        <v>0</v>
      </c>
      <c r="I29" s="179"/>
      <c r="J29" s="179">
        <f t="shared" si="0"/>
        <v>0</v>
      </c>
      <c r="K29" s="186">
        <f>G29/('water provider assumptions'!$C$25*(1+'water provider assumptions'!$C$26+'water provider assumptions'!$C$28)^A29)</f>
        <v>7.5690010383601186E-3</v>
      </c>
      <c r="L29" s="165"/>
      <c r="M29" s="179">
        <f>E29*325.9*'water provider assumptions'!$C$20</f>
        <v>303350.42910014262</v>
      </c>
      <c r="N29" s="77">
        <f>('water provider assumptions'!$C$14*(1+'water provider assumptions'!$C$18)^A29)*E29*325.9</f>
        <v>407452.67001718044</v>
      </c>
      <c r="O29" s="77">
        <f>E29*'water provider assumptions'!$C$16</f>
        <v>0</v>
      </c>
      <c r="P29" s="179">
        <f t="shared" si="1"/>
        <v>710803.09911732306</v>
      </c>
      <c r="Q29" s="165"/>
    </row>
    <row r="30" spans="1:17" x14ac:dyDescent="0.3">
      <c r="A30" s="177">
        <f t="shared" si="2"/>
        <v>17</v>
      </c>
      <c r="B30" s="48">
        <f t="shared" si="2"/>
        <v>2039</v>
      </c>
      <c r="C30" s="48"/>
      <c r="D30" s="64">
        <f>IF((D29+'dashboard and results'!$D$25)&lt;'dashboard and results'!$D$26,(D29+'dashboard and results'!$D$25),'dashboard and results'!$D$26)</f>
        <v>155</v>
      </c>
      <c r="E30" s="64">
        <f>'business decision calcs'!J30</f>
        <v>233.05113128551159</v>
      </c>
      <c r="F30" s="48"/>
      <c r="G30" s="185">
        <f>E30*325.9*'water provider assumptions'!$C$22*(1+'water provider assumptions'!$C$23)^'provider community calcs'!A30</f>
        <v>372225.85847024235</v>
      </c>
      <c r="H30" s="179">
        <f>IF(D30-D29&gt;0,'dashboard and results'!$D$30*43560*(D30-D29),0)</f>
        <v>0</v>
      </c>
      <c r="I30" s="179"/>
      <c r="J30" s="179">
        <f t="shared" si="0"/>
        <v>0</v>
      </c>
      <c r="K30" s="186">
        <f>G30/('water provider assumptions'!$C$25*(1+'water provider assumptions'!$C$26+'water provider assumptions'!$C$28)^A30)</f>
        <v>7.5067588647728285E-3</v>
      </c>
      <c r="L30" s="165"/>
      <c r="M30" s="179">
        <f>E30*325.9*'water provider assumptions'!$C$20</f>
        <v>303805.45474379288</v>
      </c>
      <c r="N30" s="77">
        <f>('water provider assumptions'!$C$14*(1+'water provider assumptions'!$C$18)^A30)*E30*325.9</f>
        <v>416225.12600265042</v>
      </c>
      <c r="O30" s="77">
        <f>E30*'water provider assumptions'!$C$16</f>
        <v>0</v>
      </c>
      <c r="P30" s="179">
        <f t="shared" si="1"/>
        <v>720030.58074644324</v>
      </c>
      <c r="Q30" s="165"/>
    </row>
    <row r="31" spans="1:17" x14ac:dyDescent="0.3">
      <c r="A31" s="177">
        <f t="shared" ref="A31:B42" si="3">A30+1</f>
        <v>18</v>
      </c>
      <c r="B31" s="48">
        <f t="shared" si="3"/>
        <v>2040</v>
      </c>
      <c r="C31" s="48"/>
      <c r="D31" s="64">
        <f>IF((D30+'dashboard and results'!$D$25)&lt;'dashboard and results'!$D$26,(D30+'dashboard and results'!$D$25),'dashboard and results'!$D$26)</f>
        <v>155</v>
      </c>
      <c r="E31" s="64">
        <f>'business decision calcs'!J31</f>
        <v>233.40070798243983</v>
      </c>
      <c r="F31" s="48"/>
      <c r="G31" s="185">
        <f>E31*325.9*'water provider assumptions'!$C$22*(1+'water provider assumptions'!$C$23)^'provider community calcs'!A31</f>
        <v>380239.8812031066</v>
      </c>
      <c r="H31" s="179">
        <f>IF(D31-D30&gt;0,'dashboard and results'!$D$30*43560*(D31-D30),0)</f>
        <v>0</v>
      </c>
      <c r="I31" s="179"/>
      <c r="J31" s="179">
        <f t="shared" si="0"/>
        <v>0</v>
      </c>
      <c r="K31" s="186">
        <f>G31/('water provider assumptions'!$C$25*(1+'water provider assumptions'!$C$26+'water provider assumptions'!$C$28)^A31)</f>
        <v>7.4450285273120259E-3</v>
      </c>
      <c r="L31" s="165"/>
      <c r="M31" s="179">
        <f>E31*325.9*'water provider assumptions'!$C$20</f>
        <v>304261.16292590852</v>
      </c>
      <c r="N31" s="77">
        <f>('water provider assumptions'!$C$14*(1+'water provider assumptions'!$C$18)^A31)*E31*325.9</f>
        <v>425186.45296548738</v>
      </c>
      <c r="O31" s="77">
        <f>E31*'water provider assumptions'!$C$16</f>
        <v>0</v>
      </c>
      <c r="P31" s="179">
        <f t="shared" si="1"/>
        <v>729447.61589139584</v>
      </c>
      <c r="Q31" s="165"/>
    </row>
    <row r="32" spans="1:17" x14ac:dyDescent="0.3">
      <c r="A32" s="177">
        <f t="shared" si="3"/>
        <v>19</v>
      </c>
      <c r="B32" s="48">
        <f t="shared" si="3"/>
        <v>2041</v>
      </c>
      <c r="C32" s="48"/>
      <c r="D32" s="64">
        <f>IF((D31+'dashboard and results'!$D$25)&lt;'dashboard and results'!$D$26,(D31+'dashboard and results'!$D$25),'dashboard and results'!$D$26)</f>
        <v>155</v>
      </c>
      <c r="E32" s="64">
        <f>'business decision calcs'!J32</f>
        <v>233.75080904441353</v>
      </c>
      <c r="F32" s="48"/>
      <c r="G32" s="185">
        <f>E32*325.9*'water provider assumptions'!$C$22*(1+'water provider assumptions'!$C$23)^'provider community calcs'!A32</f>
        <v>388426.44584540953</v>
      </c>
      <c r="H32" s="179">
        <f>IF(D32-D31&gt;0,'dashboard and results'!$D$30*43560*(D32-D31),0)</f>
        <v>0</v>
      </c>
      <c r="I32" s="179"/>
      <c r="J32" s="179">
        <f t="shared" si="0"/>
        <v>0</v>
      </c>
      <c r="K32" s="186">
        <f>G32/('water provider assumptions'!$C$25*(1+'water provider assumptions'!$C$26+'water provider assumptions'!$C$28)^A32)</f>
        <v>7.3838058169951992E-3</v>
      </c>
      <c r="L32" s="165"/>
      <c r="M32" s="179">
        <f>E32*325.9*'water provider assumptions'!$C$20</f>
        <v>304717.55467029748</v>
      </c>
      <c r="N32" s="77">
        <f>('water provider assumptions'!$C$14*(1+'water provider assumptions'!$C$18)^A32)*E32*325.9</f>
        <v>434340.7172978344</v>
      </c>
      <c r="O32" s="77">
        <f>E32*'water provider assumptions'!$C$16</f>
        <v>0</v>
      </c>
      <c r="P32" s="179">
        <f t="shared" si="1"/>
        <v>739058.27196813188</v>
      </c>
      <c r="Q32" s="165"/>
    </row>
    <row r="33" spans="1:17" x14ac:dyDescent="0.3">
      <c r="A33" s="177">
        <f t="shared" si="3"/>
        <v>20</v>
      </c>
      <c r="B33" s="48">
        <f t="shared" si="3"/>
        <v>2042</v>
      </c>
      <c r="C33" s="48"/>
      <c r="D33" s="64">
        <f>IF((D32+'dashboard and results'!$D$25)&lt;'dashboard and results'!$D$26,(D32+'dashboard and results'!$D$25),'dashboard and results'!$D$26)</f>
        <v>155</v>
      </c>
      <c r="E33" s="64">
        <f>'business decision calcs'!J33</f>
        <v>234.1014352579802</v>
      </c>
      <c r="F33" s="48"/>
      <c r="G33" s="185">
        <f>E33*325.9*'water provider assumptions'!$C$22*(1+'water provider assumptions'!$C$23)^'provider community calcs'!A33</f>
        <v>396789.26722446131</v>
      </c>
      <c r="H33" s="179">
        <f>IF(D33-D32&gt;0,'dashboard and results'!$D$30*43560*(D33-D32),0)</f>
        <v>0</v>
      </c>
      <c r="I33" s="179"/>
      <c r="J33" s="179">
        <f t="shared" si="0"/>
        <v>0</v>
      </c>
      <c r="K33" s="186">
        <f>G33/('water provider assumptions'!$C$25*(1+'water provider assumptions'!$C$26+'water provider assumptions'!$C$28)^A33)</f>
        <v>7.323086559451561E-3</v>
      </c>
      <c r="L33" s="165"/>
      <c r="M33" s="179">
        <f>E33*325.9*'water provider assumptions'!$C$20</f>
        <v>305174.63100230298</v>
      </c>
      <c r="N33" s="77">
        <f>('water provider assumptions'!$C$14*(1+'water provider assumptions'!$C$18)^A33)*E33*325.9</f>
        <v>443692.07294125692</v>
      </c>
      <c r="O33" s="77">
        <f>E33*'water provider assumptions'!$C$16</f>
        <v>0</v>
      </c>
      <c r="P33" s="179">
        <f t="shared" si="1"/>
        <v>748866.7039435599</v>
      </c>
      <c r="Q33" s="165"/>
    </row>
    <row r="34" spans="1:17" x14ac:dyDescent="0.3">
      <c r="A34" s="177">
        <f t="shared" si="3"/>
        <v>21</v>
      </c>
      <c r="B34" s="48">
        <f t="shared" si="3"/>
        <v>2043</v>
      </c>
      <c r="C34" s="48"/>
      <c r="D34" s="64">
        <f>IF((D33+'dashboard and results'!$D$25)&lt;'dashboard and results'!$D$26,(D33+'dashboard and results'!$D$25),'dashboard and results'!$D$26)</f>
        <v>155</v>
      </c>
      <c r="E34" s="64">
        <f>'business decision calcs'!J34</f>
        <v>234.45258741086721</v>
      </c>
      <c r="F34" s="48"/>
      <c r="G34" s="185">
        <f>E34*325.9*'water provider assumptions'!$C$22*(1+'water provider assumptions'!$C$23)^'provider community calcs'!A34</f>
        <v>405332.14014780405</v>
      </c>
      <c r="H34" s="179">
        <f>IF(D34-D33&gt;0,'dashboard and results'!$D$30*43560*(D34-D33),0)</f>
        <v>0</v>
      </c>
      <c r="I34" s="179"/>
      <c r="J34" s="179">
        <f t="shared" si="0"/>
        <v>0</v>
      </c>
      <c r="K34" s="186">
        <f>G34/('water provider assumptions'!$C$25*(1+'water provider assumptions'!$C$26+'water provider assumptions'!$C$28)^A34)</f>
        <v>7.2628666146374319E-3</v>
      </c>
      <c r="L34" s="165"/>
      <c r="M34" s="179">
        <f>E34*325.9*'water provider assumptions'!$C$20</f>
        <v>305632.39294880646</v>
      </c>
      <c r="N34" s="77">
        <f>('water provider assumptions'!$C$14*(1+'water provider assumptions'!$C$18)^A34)*E34*325.9</f>
        <v>453244.7632716822</v>
      </c>
      <c r="O34" s="77">
        <f>E34*'water provider assumptions'!$C$16</f>
        <v>0</v>
      </c>
      <c r="P34" s="179">
        <f t="shared" si="1"/>
        <v>758877.15622048872</v>
      </c>
      <c r="Q34" s="165"/>
    </row>
    <row r="35" spans="1:17" x14ac:dyDescent="0.3">
      <c r="A35" s="177">
        <f t="shared" si="3"/>
        <v>22</v>
      </c>
      <c r="B35" s="48">
        <f t="shared" si="3"/>
        <v>2044</v>
      </c>
      <c r="C35" s="48"/>
      <c r="D35" s="64">
        <f>IF((D34+'dashboard and results'!$D$25)&lt;'dashboard and results'!$D$26,(D34+'dashboard and results'!$D$25),'dashboard and results'!$D$26)</f>
        <v>155</v>
      </c>
      <c r="E35" s="64">
        <f>'business decision calcs'!J35</f>
        <v>234.80426629198348</v>
      </c>
      <c r="F35" s="48"/>
      <c r="G35" s="185">
        <f>E35*325.9*'water provider assumptions'!$C$22*(1+'water provider assumptions'!$C$23)^'provider community calcs'!A35</f>
        <v>414058.94112518628</v>
      </c>
      <c r="H35" s="179">
        <f>IF(D35-D34&gt;0,'dashboard and results'!$D$30*43560*(D35-D34),0)</f>
        <v>0</v>
      </c>
      <c r="I35" s="179"/>
      <c r="J35" s="179">
        <f t="shared" si="0"/>
        <v>0</v>
      </c>
      <c r="K35" s="186">
        <f>G35/('water provider assumptions'!$C$25*(1+'water provider assumptions'!$C$26+'water provider assumptions'!$C$28)^A35)</f>
        <v>7.2031418765539567E-3</v>
      </c>
      <c r="L35" s="165"/>
      <c r="M35" s="179">
        <f>E35*325.9*'water provider assumptions'!$C$20</f>
        <v>306090.84153822967</v>
      </c>
      <c r="N35" s="77">
        <f>('water provider assumptions'!$C$14*(1+'water provider assumptions'!$C$18)^A35)*E35*325.9</f>
        <v>463003.12302492152</v>
      </c>
      <c r="O35" s="77">
        <f>E35*'water provider assumptions'!$C$16</f>
        <v>0</v>
      </c>
      <c r="P35" s="179">
        <f t="shared" si="1"/>
        <v>769093.96456315112</v>
      </c>
      <c r="Q35" s="165"/>
    </row>
    <row r="36" spans="1:17" x14ac:dyDescent="0.3">
      <c r="A36" s="177">
        <f t="shared" si="3"/>
        <v>23</v>
      </c>
      <c r="B36" s="48">
        <f t="shared" si="3"/>
        <v>2045</v>
      </c>
      <c r="C36" s="48"/>
      <c r="D36" s="64">
        <f>IF((D35+'dashboard and results'!$D$25)&lt;'dashboard and results'!$D$26,(D35+'dashboard and results'!$D$25),'dashboard and results'!$D$26)</f>
        <v>155</v>
      </c>
      <c r="E36" s="64">
        <f>'business decision calcs'!J36</f>
        <v>235.15647269142153</v>
      </c>
      <c r="F36" s="48"/>
      <c r="G36" s="185">
        <f>E36*325.9*'water provider assumptions'!$C$22*(1+'water provider assumptions'!$C$23)^'provider community calcs'!A36</f>
        <v>422973.63012761157</v>
      </c>
      <c r="H36" s="179">
        <f>IF(D36-D35&gt;0,'dashboard and results'!$D$30*43560*(D36-D35),0)</f>
        <v>0</v>
      </c>
      <c r="I36" s="179"/>
      <c r="J36" s="179">
        <f t="shared" si="0"/>
        <v>0</v>
      </c>
      <c r="K36" s="186">
        <f>G36/('water provider assumptions'!$C$25*(1+'water provider assumptions'!$C$26+'water provider assumptions'!$C$28)^A36)</f>
        <v>7.1439082729671498E-3</v>
      </c>
      <c r="L36" s="165"/>
      <c r="M36" s="179">
        <f>E36*325.9*'water provider assumptions'!$C$20</f>
        <v>306549.97780053708</v>
      </c>
      <c r="N36" s="77">
        <f>('water provider assumptions'!$C$14*(1+'water provider assumptions'!$C$18)^A36)*E36*325.9</f>
        <v>472971.58026364812</v>
      </c>
      <c r="O36" s="77">
        <f>E36*'water provider assumptions'!$C$16</f>
        <v>0</v>
      </c>
      <c r="P36" s="179">
        <f t="shared" si="1"/>
        <v>779521.5580641852</v>
      </c>
      <c r="Q36" s="165"/>
    </row>
    <row r="37" spans="1:17" x14ac:dyDescent="0.3">
      <c r="A37" s="177">
        <f t="shared" si="3"/>
        <v>24</v>
      </c>
      <c r="B37" s="48">
        <f t="shared" si="3"/>
        <v>2046</v>
      </c>
      <c r="C37" s="48"/>
      <c r="D37" s="64">
        <f>IF((D36+'dashboard and results'!$D$25)&lt;'dashboard and results'!$D$26,(D36+'dashboard and results'!$D$25),'dashboard and results'!$D$26)</f>
        <v>155</v>
      </c>
      <c r="E37" s="64">
        <f>'business decision calcs'!J37</f>
        <v>235.50920740045868</v>
      </c>
      <c r="F37" s="48"/>
      <c r="G37" s="185">
        <f>E37*325.9*'water provider assumptions'!$C$22*(1+'water provider assumptions'!$C$23)^'provider community calcs'!A37</f>
        <v>432080.25238425907</v>
      </c>
      <c r="H37" s="179">
        <f>IF(D37-D36&gt;0,'dashboard and results'!$D$30*43560*(D37-D36),0)</f>
        <v>0</v>
      </c>
      <c r="I37" s="179"/>
      <c r="J37" s="179">
        <f t="shared" si="0"/>
        <v>0</v>
      </c>
      <c r="K37" s="186">
        <f>G37/('water provider assumptions'!$C$25*(1+'water provider assumptions'!$C$26+'water provider assumptions'!$C$28)^A37)</f>
        <v>7.0851617651302261E-3</v>
      </c>
      <c r="L37" s="165"/>
      <c r="M37" s="179">
        <f>E37*325.9*'water provider assumptions'!$C$20</f>
        <v>307009.80276723794</v>
      </c>
      <c r="N37" s="77">
        <f>('water provider assumptions'!$C$14*(1+'water provider assumptions'!$C$18)^A37)*E37*325.9</f>
        <v>483154.65838672454</v>
      </c>
      <c r="O37" s="77">
        <f>E37*'water provider assumptions'!$C$16</f>
        <v>0</v>
      </c>
      <c r="P37" s="179">
        <f t="shared" si="1"/>
        <v>790164.46115396242</v>
      </c>
      <c r="Q37" s="165"/>
    </row>
    <row r="38" spans="1:17" x14ac:dyDescent="0.3">
      <c r="A38" s="177">
        <f t="shared" si="3"/>
        <v>25</v>
      </c>
      <c r="B38" s="48">
        <f t="shared" si="3"/>
        <v>2047</v>
      </c>
      <c r="C38" s="48"/>
      <c r="D38" s="64">
        <f>IF((D37+'dashboard and results'!$D$25)&lt;'dashboard and results'!$D$26,(D37+'dashboard and results'!$D$25),'dashboard and results'!$D$26)</f>
        <v>155</v>
      </c>
      <c r="E38" s="64">
        <f>'business decision calcs'!J38</f>
        <v>235.86247121155941</v>
      </c>
      <c r="F38" s="48"/>
      <c r="G38" s="185">
        <f>E38*325.9*'water provider assumptions'!$C$22*(1+'water provider assumptions'!$C$23)^'provider community calcs'!A38</f>
        <v>441382.94021809229</v>
      </c>
      <c r="H38" s="179">
        <f>IF(D38-D37&gt;0,'dashboard and results'!$D$30*43560*(D38-D37),0)</f>
        <v>0</v>
      </c>
      <c r="I38" s="179"/>
      <c r="J38" s="179">
        <f t="shared" si="0"/>
        <v>0</v>
      </c>
      <c r="K38" s="186">
        <f>G38/('water provider assumptions'!$C$25*(1+'water provider assumptions'!$C$26+'water provider assumptions'!$C$28)^A38)</f>
        <v>7.0268983475082359E-3</v>
      </c>
      <c r="L38" s="165"/>
      <c r="M38" s="179">
        <f>E38*325.9*'water provider assumptions'!$C$20</f>
        <v>307470.31747138884</v>
      </c>
      <c r="N38" s="77">
        <f>('water provider assumptions'!$C$14*(1+'water provider assumptions'!$C$18)^A38)*E38*325.9</f>
        <v>493556.97818179085</v>
      </c>
      <c r="O38" s="77">
        <f>E38*'water provider assumptions'!$C$16</f>
        <v>0</v>
      </c>
      <c r="P38" s="179">
        <f t="shared" si="1"/>
        <v>801027.29565317975</v>
      </c>
      <c r="Q38" s="165"/>
    </row>
    <row r="39" spans="1:17" x14ac:dyDescent="0.3">
      <c r="A39" s="177">
        <f t="shared" si="3"/>
        <v>26</v>
      </c>
      <c r="B39" s="48">
        <f t="shared" si="3"/>
        <v>2048</v>
      </c>
      <c r="C39" s="48"/>
      <c r="D39" s="64">
        <f>IF((D38+'dashboard and results'!$D$25)&lt;'dashboard and results'!$D$26,(D38+'dashboard and results'!$D$25),'dashboard and results'!$D$26)</f>
        <v>155</v>
      </c>
      <c r="E39" s="64">
        <f>'business decision calcs'!J39</f>
        <v>236.21626491837674</v>
      </c>
      <c r="F39" s="48"/>
      <c r="G39" s="185">
        <f>E39*325.9*'water provider assumptions'!$C$22*(1+'water provider assumptions'!$C$23)^'provider community calcs'!A39</f>
        <v>450885.91492098779</v>
      </c>
      <c r="H39" s="179">
        <f>IF(D39-D38&gt;0,'dashboard and results'!$D$30*43560*(D39-D38),0)</f>
        <v>0</v>
      </c>
      <c r="I39" s="179"/>
      <c r="J39" s="179">
        <f t="shared" si="0"/>
        <v>0</v>
      </c>
      <c r="K39" s="186">
        <f>G39/('water provider assumptions'!$C$25*(1+'water provider assumptions'!$C$26+'water provider assumptions'!$C$28)^A39)</f>
        <v>6.9691140475049377E-3</v>
      </c>
      <c r="L39" s="165"/>
      <c r="M39" s="179">
        <f>E39*325.9*'water provider assumptions'!$C$20</f>
        <v>307931.52294759592</v>
      </c>
      <c r="N39" s="77">
        <f>('water provider assumptions'!$C$14*(1+'water provider assumptions'!$C$18)^A39)*E39*325.9</f>
        <v>504183.25992204482</v>
      </c>
      <c r="O39" s="77">
        <f>E39*'water provider assumptions'!$C$16</f>
        <v>0</v>
      </c>
      <c r="P39" s="179">
        <f t="shared" si="1"/>
        <v>812114.78286964074</v>
      </c>
      <c r="Q39" s="165"/>
    </row>
    <row r="40" spans="1:17" x14ac:dyDescent="0.3">
      <c r="A40" s="177">
        <f t="shared" si="3"/>
        <v>27</v>
      </c>
      <c r="B40" s="48">
        <f t="shared" si="3"/>
        <v>2049</v>
      </c>
      <c r="C40" s="48"/>
      <c r="D40" s="64">
        <f>IF((D39+'dashboard and results'!$D$25)&lt;'dashboard and results'!$D$26,(D39+'dashboard and results'!$D$25),'dashboard and results'!$D$26)</f>
        <v>155</v>
      </c>
      <c r="E40" s="64">
        <f>'business decision calcs'!J40</f>
        <v>236.57058931575432</v>
      </c>
      <c r="F40" s="48"/>
      <c r="G40" s="185">
        <f>E40*325.9*'water provider assumptions'!$C$22*(1+'water provider assumptions'!$C$23)^'provider community calcs'!A40</f>
        <v>460593.48866923654</v>
      </c>
      <c r="H40" s="179">
        <f>IF(D40-D39&gt;0,'dashboard and results'!$D$30*43560*(D40-D39),0)</f>
        <v>0</v>
      </c>
      <c r="I40" s="179"/>
      <c r="J40" s="179">
        <f t="shared" si="0"/>
        <v>0</v>
      </c>
      <c r="K40" s="186">
        <f>G40/('water provider assumptions'!$C$25*(1+'water provider assumptions'!$C$26+'water provider assumptions'!$C$28)^A40)</f>
        <v>6.9118049251919592E-3</v>
      </c>
      <c r="L40" s="165"/>
      <c r="M40" s="179">
        <f>E40*325.9*'water provider assumptions'!$C$20</f>
        <v>308393.42023201729</v>
      </c>
      <c r="N40" s="77">
        <f>('water provider assumptions'!$C$14*(1+'water provider assumptions'!$C$18)^A40)*E40*325.9</f>
        <v>515038.32550816634</v>
      </c>
      <c r="O40" s="77">
        <f>E40*'water provider assumptions'!$C$16</f>
        <v>0</v>
      </c>
      <c r="P40" s="179">
        <f t="shared" si="1"/>
        <v>823431.74574018363</v>
      </c>
      <c r="Q40" s="165"/>
    </row>
    <row r="41" spans="1:17" x14ac:dyDescent="0.3">
      <c r="A41" s="177">
        <f t="shared" si="3"/>
        <v>28</v>
      </c>
      <c r="B41" s="48">
        <f t="shared" si="3"/>
        <v>2050</v>
      </c>
      <c r="C41" s="48"/>
      <c r="D41" s="64">
        <f>IF((D40+'dashboard and results'!$D$25)&lt;'dashboard and results'!$D$26,(D40+'dashboard and results'!$D$25),'dashboard and results'!$D$26)</f>
        <v>155</v>
      </c>
      <c r="E41" s="64">
        <f>'business decision calcs'!J41</f>
        <v>236.92544519972799</v>
      </c>
      <c r="F41" s="48"/>
      <c r="G41" s="185">
        <f>E41*325.9*'water provider assumptions'!$C$22*(1+'water provider assumptions'!$C$23)^'provider community calcs'!A41</f>
        <v>470510.06648028549</v>
      </c>
      <c r="H41" s="179">
        <f>IF(D41-D40&gt;0,'dashboard and results'!$D$30*43560*(D41-D40),0)</f>
        <v>0</v>
      </c>
      <c r="I41" s="179"/>
      <c r="J41" s="179">
        <f t="shared" si="0"/>
        <v>0</v>
      </c>
      <c r="K41" s="186">
        <f>G41/('water provider assumptions'!$C$25*(1+'water provider assumptions'!$C$26+'water provider assumptions'!$C$28)^A41)</f>
        <v>6.8549670730401425E-3</v>
      </c>
      <c r="L41" s="165"/>
      <c r="M41" s="179">
        <f>E41*325.9*'water provider assumptions'!$C$20</f>
        <v>308856.0103623654</v>
      </c>
      <c r="N41" s="77">
        <f>('water provider assumptions'!$C$14*(1+'water provider assumptions'!$C$18)^A41)*E41*325.9</f>
        <v>526127.10065635736</v>
      </c>
      <c r="O41" s="77">
        <f>E41*'water provider assumptions'!$C$16</f>
        <v>0</v>
      </c>
      <c r="P41" s="179">
        <f t="shared" si="1"/>
        <v>834983.11101872276</v>
      </c>
      <c r="Q41" s="165"/>
    </row>
    <row r="42" spans="1:17" x14ac:dyDescent="0.3">
      <c r="A42" s="177">
        <f t="shared" si="3"/>
        <v>29</v>
      </c>
      <c r="B42" s="48">
        <f t="shared" si="3"/>
        <v>2051</v>
      </c>
      <c r="C42" s="48"/>
      <c r="D42" s="64">
        <f>IF((D41+'dashboard and results'!$D$25)&lt;'dashboard and results'!$D$26,(D41+'dashboard and results'!$D$25),'dashboard and results'!$D$26)</f>
        <v>155</v>
      </c>
      <c r="E42" s="64">
        <f>'business decision calcs'!J42</f>
        <v>237.28083336752763</v>
      </c>
      <c r="F42" s="48"/>
      <c r="G42" s="185">
        <f>E42*325.9*'water provider assumptions'!$C$22*(1+'water provider assumptions'!$C$23)^'provider community calcs'!A42</f>
        <v>480640.14821160596</v>
      </c>
      <c r="H42" s="179">
        <f>IF(D42-D41&gt;0,'dashboard and results'!$D$30*43560*(D42-D41),0)</f>
        <v>0</v>
      </c>
      <c r="I42" s="179"/>
      <c r="J42" s="179">
        <f t="shared" si="0"/>
        <v>0</v>
      </c>
      <c r="K42" s="186">
        <f>G42/('water provider assumptions'!$C$25*(1+'water provider assumptions'!$C$26+'water provider assumptions'!$C$28)^A42)</f>
        <v>6.7985966156531037E-3</v>
      </c>
      <c r="L42" s="165"/>
      <c r="M42" s="179">
        <f>E42*325.9*'water provider assumptions'!$C$20</f>
        <v>309319.29437790898</v>
      </c>
      <c r="N42" s="77">
        <f>('water provider assumptions'!$C$14*(1+'water provider assumptions'!$C$18)^A42)*E42*325.9</f>
        <v>537454.61713348876</v>
      </c>
      <c r="O42" s="77">
        <f>E42*'water provider assumptions'!$C$16</f>
        <v>0</v>
      </c>
      <c r="P42" s="179">
        <f t="shared" si="1"/>
        <v>846773.91151139769</v>
      </c>
      <c r="Q42" s="165"/>
    </row>
    <row r="43" spans="1:17" x14ac:dyDescent="0.3">
      <c r="P43" s="165"/>
    </row>
    <row r="44" spans="1:17" x14ac:dyDescent="0.3">
      <c r="G44" s="168">
        <f>NPV(0.03,G13:G42)</f>
        <v>5976400.5978876436</v>
      </c>
      <c r="J44" s="168">
        <f>NPV(0.03,J13:J42)</f>
        <v>6042047.8340449007</v>
      </c>
      <c r="N44" s="168"/>
      <c r="O44" s="168"/>
      <c r="P44" s="168">
        <f>NPV(0.03,P13:P42)</f>
        <v>11779272.75979434</v>
      </c>
    </row>
    <row r="45" spans="1:17" ht="17.25" thickBot="1" x14ac:dyDescent="0.35">
      <c r="A45" s="157"/>
      <c r="B45" s="33"/>
      <c r="C45" s="33"/>
      <c r="D45" s="158"/>
      <c r="E45" s="158"/>
      <c r="F45" s="33"/>
      <c r="G45" s="33"/>
      <c r="H45" s="33"/>
      <c r="I45" s="33"/>
      <c r="J45" s="33"/>
      <c r="K45" s="181"/>
      <c r="L45" s="33"/>
      <c r="M45" s="33"/>
      <c r="N45" s="160"/>
      <c r="O45" s="160"/>
      <c r="P45" s="33"/>
      <c r="Q45" s="33"/>
    </row>
  </sheetData>
  <mergeCells count="2">
    <mergeCell ref="M11:P11"/>
    <mergeCell ref="G11:K11"/>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1B46B-B42F-4C86-8811-6F8FE648EFF1}">
  <dimension ref="A7:BK43"/>
  <sheetViews>
    <sheetView workbookViewId="0">
      <selection activeCell="F8" sqref="F8"/>
    </sheetView>
  </sheetViews>
  <sheetFormatPr defaultColWidth="8.85546875" defaultRowHeight="16.5" x14ac:dyDescent="0.3"/>
  <cols>
    <col min="1" max="1" width="7.42578125" style="2" customWidth="1"/>
    <col min="2" max="2" width="14.28515625" style="2" customWidth="1"/>
    <col min="3" max="3" width="4.42578125" style="2" customWidth="1"/>
    <col min="4" max="4" width="11" style="2" customWidth="1"/>
    <col min="5" max="33" width="12.7109375" style="2" customWidth="1"/>
    <col min="34" max="62" width="0" style="2" hidden="1" customWidth="1"/>
    <col min="63" max="16384" width="8.85546875" style="2"/>
  </cols>
  <sheetData>
    <row r="7" spans="1:37" x14ac:dyDescent="0.3">
      <c r="A7" s="19" t="s">
        <v>186</v>
      </c>
    </row>
    <row r="8" spans="1:37" ht="21" x14ac:dyDescent="0.4">
      <c r="A8" s="190" t="s">
        <v>215</v>
      </c>
      <c r="B8" s="93"/>
    </row>
    <row r="9" spans="1:37" ht="17.25" thickBot="1" x14ac:dyDescent="0.3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row>
    <row r="10" spans="1:37" x14ac:dyDescent="0.3">
      <c r="B10" s="2" t="s">
        <v>52</v>
      </c>
    </row>
    <row r="11" spans="1:37" x14ac:dyDescent="0.3">
      <c r="D11" s="2">
        <v>2022</v>
      </c>
      <c r="E11" s="2">
        <f t="shared" ref="E11:AC11" si="0">D11+1</f>
        <v>2023</v>
      </c>
      <c r="F11" s="2">
        <f t="shared" si="0"/>
        <v>2024</v>
      </c>
      <c r="G11" s="2">
        <f t="shared" si="0"/>
        <v>2025</v>
      </c>
      <c r="H11" s="2">
        <f t="shared" si="0"/>
        <v>2026</v>
      </c>
      <c r="I11" s="2">
        <f t="shared" si="0"/>
        <v>2027</v>
      </c>
      <c r="J11" s="2">
        <f t="shared" si="0"/>
        <v>2028</v>
      </c>
      <c r="K11" s="2">
        <f t="shared" si="0"/>
        <v>2029</v>
      </c>
      <c r="L11" s="2">
        <f t="shared" si="0"/>
        <v>2030</v>
      </c>
      <c r="M11" s="2">
        <f t="shared" si="0"/>
        <v>2031</v>
      </c>
      <c r="N11" s="2">
        <f t="shared" si="0"/>
        <v>2032</v>
      </c>
      <c r="O11" s="2">
        <f t="shared" si="0"/>
        <v>2033</v>
      </c>
      <c r="P11" s="2">
        <f t="shared" si="0"/>
        <v>2034</v>
      </c>
      <c r="Q11" s="2">
        <f t="shared" si="0"/>
        <v>2035</v>
      </c>
      <c r="R11" s="2">
        <f t="shared" si="0"/>
        <v>2036</v>
      </c>
      <c r="S11" s="2">
        <f t="shared" si="0"/>
        <v>2037</v>
      </c>
      <c r="T11" s="2">
        <f t="shared" si="0"/>
        <v>2038</v>
      </c>
      <c r="U11" s="2">
        <f t="shared" si="0"/>
        <v>2039</v>
      </c>
      <c r="V11" s="2">
        <f t="shared" si="0"/>
        <v>2040</v>
      </c>
      <c r="W11" s="2">
        <f t="shared" si="0"/>
        <v>2041</v>
      </c>
      <c r="X11" s="2">
        <f t="shared" si="0"/>
        <v>2042</v>
      </c>
      <c r="Y11" s="2">
        <f t="shared" si="0"/>
        <v>2043</v>
      </c>
      <c r="Z11" s="2">
        <f t="shared" si="0"/>
        <v>2044</v>
      </c>
      <c r="AA11" s="2">
        <f t="shared" si="0"/>
        <v>2045</v>
      </c>
      <c r="AB11" s="2">
        <f t="shared" si="0"/>
        <v>2046</v>
      </c>
      <c r="AC11" s="2">
        <f t="shared" si="0"/>
        <v>2047</v>
      </c>
      <c r="AD11" s="2">
        <f t="shared" ref="AD11:AF11" si="1">AC11+1</f>
        <v>2048</v>
      </c>
      <c r="AE11" s="2">
        <f t="shared" si="1"/>
        <v>2049</v>
      </c>
      <c r="AF11" s="2">
        <f t="shared" si="1"/>
        <v>2050</v>
      </c>
      <c r="AG11" s="2">
        <f t="shared" ref="AG11" si="2">AF11+1</f>
        <v>2051</v>
      </c>
    </row>
    <row r="12" spans="1:37" x14ac:dyDescent="0.3">
      <c r="A12" s="2">
        <v>2022</v>
      </c>
      <c r="B12" s="148">
        <f>'business decision calcs'!D13</f>
        <v>20</v>
      </c>
      <c r="C12" s="148"/>
      <c r="D12" s="21">
        <f>$B12*'O&amp;M assumptions'!$O$28</f>
        <v>42950.806451612894</v>
      </c>
      <c r="E12" s="21">
        <f>$B12*'O&amp;M assumptions'!$O$29</f>
        <v>42950.806451612894</v>
      </c>
      <c r="F12" s="21">
        <f>$B12*'O&amp;M assumptions'!$O$30</f>
        <v>42950.806451612894</v>
      </c>
      <c r="G12" s="21">
        <f>$B12*'O&amp;M assumptions'!$O$30</f>
        <v>42950.806451612894</v>
      </c>
      <c r="H12" s="21">
        <f>$B12*'O&amp;M assumptions'!$O$30</f>
        <v>42950.806451612894</v>
      </c>
      <c r="I12" s="21">
        <f>$B12*'O&amp;M assumptions'!$O$30</f>
        <v>42950.806451612894</v>
      </c>
      <c r="J12" s="21">
        <f>$B12*'O&amp;M assumptions'!$O$30</f>
        <v>42950.806451612894</v>
      </c>
      <c r="K12" s="21">
        <f>$B12*'O&amp;M assumptions'!$O$30</f>
        <v>42950.806451612894</v>
      </c>
      <c r="L12" s="21">
        <f>$B12*'O&amp;M assumptions'!$O$30</f>
        <v>42950.806451612894</v>
      </c>
      <c r="M12" s="21">
        <f>IF($B12&gt;0, $B12*('O&amp;M assumptions'!$O$31+'O&amp;M assumptions'!$O$30),$B12*'O&amp;M assumptions'!$O$30)</f>
        <v>62386.290322580644</v>
      </c>
      <c r="N12" s="21">
        <f>$B12*'O&amp;M assumptions'!$O$30</f>
        <v>42950.806451612894</v>
      </c>
      <c r="O12" s="21">
        <f>$B12*'O&amp;M assumptions'!$O$30</f>
        <v>42950.806451612894</v>
      </c>
      <c r="P12" s="21">
        <f>$B12*'O&amp;M assumptions'!$O$30</f>
        <v>42950.806451612894</v>
      </c>
      <c r="Q12" s="21">
        <f>$B12*'O&amp;M assumptions'!$O$30</f>
        <v>42950.806451612894</v>
      </c>
      <c r="R12" s="21">
        <f>$B12*'O&amp;M assumptions'!$O$30</f>
        <v>42950.806451612894</v>
      </c>
      <c r="S12" s="21">
        <f>$B12*'O&amp;M assumptions'!$O$30</f>
        <v>42950.806451612894</v>
      </c>
      <c r="T12" s="21">
        <f>$B12*'O&amp;M assumptions'!$O$30</f>
        <v>42950.806451612894</v>
      </c>
      <c r="U12" s="21">
        <f>$B12*'O&amp;M assumptions'!$O$30</f>
        <v>42950.806451612894</v>
      </c>
      <c r="V12" s="21">
        <f>$B12*'O&amp;M assumptions'!$O$30</f>
        <v>42950.806451612894</v>
      </c>
      <c r="W12" s="21">
        <f>IF($B12&gt;0, $B12*('O&amp;M assumptions'!$O$31+'O&amp;M assumptions'!$O$30),$B12*'O&amp;M assumptions'!$O$30)</f>
        <v>62386.290322580644</v>
      </c>
      <c r="X12" s="21">
        <f>$B12*'O&amp;M assumptions'!$O$30</f>
        <v>42950.806451612894</v>
      </c>
      <c r="Y12" s="21">
        <f>$B12*'O&amp;M assumptions'!$O$30</f>
        <v>42950.806451612894</v>
      </c>
      <c r="Z12" s="21">
        <f>$B12*'O&amp;M assumptions'!$O$30</f>
        <v>42950.806451612894</v>
      </c>
      <c r="AA12" s="21">
        <f>$B12*'O&amp;M assumptions'!$O$30</f>
        <v>42950.806451612894</v>
      </c>
      <c r="AB12" s="21">
        <f>$B12*'O&amp;M assumptions'!$O$30</f>
        <v>42950.806451612894</v>
      </c>
      <c r="AC12" s="21">
        <f>$B12*'O&amp;M assumptions'!$O$30</f>
        <v>42950.806451612894</v>
      </c>
      <c r="AD12" s="21">
        <f>$B12*'O&amp;M assumptions'!$O$30</f>
        <v>42950.806451612894</v>
      </c>
      <c r="AE12" s="21">
        <f>$B12*'O&amp;M assumptions'!$O$30</f>
        <v>42950.806451612894</v>
      </c>
      <c r="AF12" s="21">
        <f>$B12*'O&amp;M assumptions'!$O$30</f>
        <v>42950.806451612894</v>
      </c>
      <c r="AG12" s="21">
        <f>IF($B12&gt;0, $B12*('O&amp;M assumptions'!$O$31+'O&amp;M assumptions'!$O$30),$B12*'O&amp;M assumptions'!$O$30)</f>
        <v>62386.290322580644</v>
      </c>
    </row>
    <row r="13" spans="1:37" x14ac:dyDescent="0.3">
      <c r="A13" s="2">
        <f>A12+1</f>
        <v>2023</v>
      </c>
      <c r="B13" s="148">
        <f>'business decision calcs'!D14</f>
        <v>25</v>
      </c>
      <c r="C13" s="148"/>
      <c r="E13" s="21">
        <f>$B13*'O&amp;M assumptions'!$O$28</f>
        <v>53688.508064516122</v>
      </c>
      <c r="F13" s="21">
        <f>$B13*'O&amp;M assumptions'!$O$29</f>
        <v>53688.508064516122</v>
      </c>
      <c r="G13" s="21">
        <f>$B13*'O&amp;M assumptions'!$O$30</f>
        <v>53688.508064516122</v>
      </c>
      <c r="H13" s="21">
        <f>$B13*'O&amp;M assumptions'!$O$30</f>
        <v>53688.508064516122</v>
      </c>
      <c r="I13" s="21">
        <f>$B13*'O&amp;M assumptions'!$O$30</f>
        <v>53688.508064516122</v>
      </c>
      <c r="J13" s="21">
        <f>$B13*'O&amp;M assumptions'!$O$30</f>
        <v>53688.508064516122</v>
      </c>
      <c r="K13" s="21">
        <f>$B13*'O&amp;M assumptions'!$O$30</f>
        <v>53688.508064516122</v>
      </c>
      <c r="L13" s="21">
        <f>$B13*'O&amp;M assumptions'!$O$30</f>
        <v>53688.508064516122</v>
      </c>
      <c r="M13" s="21">
        <f>$B13*'O&amp;M assumptions'!$O$30</f>
        <v>53688.508064516122</v>
      </c>
      <c r="N13" s="21">
        <f>IF($B13&gt;0, $B13*('O&amp;M assumptions'!$O$31+'O&amp;M assumptions'!$O$30),$B13*'O&amp;M assumptions'!$O$30)</f>
        <v>77982.862903225803</v>
      </c>
      <c r="O13" s="21">
        <f>$B13*'O&amp;M assumptions'!$O$30</f>
        <v>53688.508064516122</v>
      </c>
      <c r="P13" s="21">
        <f>$B13*'O&amp;M assumptions'!$O$30</f>
        <v>53688.508064516122</v>
      </c>
      <c r="Q13" s="21">
        <f>$B13*'O&amp;M assumptions'!$O$30</f>
        <v>53688.508064516122</v>
      </c>
      <c r="R13" s="21">
        <f>$B13*'O&amp;M assumptions'!$O$30</f>
        <v>53688.508064516122</v>
      </c>
      <c r="S13" s="21">
        <f>$B13*'O&amp;M assumptions'!$O$30</f>
        <v>53688.508064516122</v>
      </c>
      <c r="T13" s="21">
        <f>$B13*'O&amp;M assumptions'!$O$30</f>
        <v>53688.508064516122</v>
      </c>
      <c r="U13" s="21">
        <f>$B13*'O&amp;M assumptions'!$O$30</f>
        <v>53688.508064516122</v>
      </c>
      <c r="V13" s="21">
        <f>$B13*'O&amp;M assumptions'!$O$30</f>
        <v>53688.508064516122</v>
      </c>
      <c r="W13" s="21">
        <f>$B13*'O&amp;M assumptions'!$O$30</f>
        <v>53688.508064516122</v>
      </c>
      <c r="X13" s="21">
        <f>IF($B13&gt;0, $B13*('O&amp;M assumptions'!$O$31+'O&amp;M assumptions'!$O$30),$B13*'O&amp;M assumptions'!$O$30)</f>
        <v>77982.862903225803</v>
      </c>
      <c r="Y13" s="21">
        <f>$B13*'O&amp;M assumptions'!$O$30</f>
        <v>53688.508064516122</v>
      </c>
      <c r="Z13" s="21">
        <f>$B13*'O&amp;M assumptions'!$O$30</f>
        <v>53688.508064516122</v>
      </c>
      <c r="AA13" s="21">
        <f>$B13*'O&amp;M assumptions'!$O$30</f>
        <v>53688.508064516122</v>
      </c>
      <c r="AB13" s="21">
        <f>$B13*'O&amp;M assumptions'!$O$30</f>
        <v>53688.508064516122</v>
      </c>
      <c r="AC13" s="21">
        <f>$B13*'O&amp;M assumptions'!$O$30</f>
        <v>53688.508064516122</v>
      </c>
      <c r="AD13" s="21">
        <f>$B13*'O&amp;M assumptions'!$O$30</f>
        <v>53688.508064516122</v>
      </c>
      <c r="AE13" s="21">
        <f>$B13*'O&amp;M assumptions'!$O$30</f>
        <v>53688.508064516122</v>
      </c>
      <c r="AF13" s="21">
        <f>$B13*'O&amp;M assumptions'!$O$30</f>
        <v>53688.508064516122</v>
      </c>
      <c r="AG13" s="21">
        <f>$B13*'O&amp;M assumptions'!$O$30</f>
        <v>53688.508064516122</v>
      </c>
      <c r="AH13" s="21">
        <f>IF($B13&gt;0, $B13*('O&amp;M assumptions'!$O$31+'O&amp;M assumptions'!$O$30),$B13*'O&amp;M assumptions'!$O$30)</f>
        <v>77982.862903225803</v>
      </c>
    </row>
    <row r="14" spans="1:37" x14ac:dyDescent="0.3">
      <c r="A14" s="2">
        <f t="shared" ref="A14:A41" si="3">A13+1</f>
        <v>2024</v>
      </c>
      <c r="B14" s="148">
        <f>'business decision calcs'!D15</f>
        <v>25</v>
      </c>
      <c r="C14" s="148"/>
      <c r="E14" s="187"/>
      <c r="F14" s="21">
        <f>$B14*'O&amp;M assumptions'!$O$28</f>
        <v>53688.508064516122</v>
      </c>
      <c r="G14" s="21">
        <f>$B14*'O&amp;M assumptions'!$O$29</f>
        <v>53688.508064516122</v>
      </c>
      <c r="H14" s="21">
        <f>$B14*'O&amp;M assumptions'!$O$30</f>
        <v>53688.508064516122</v>
      </c>
      <c r="I14" s="21">
        <f>$B14*'O&amp;M assumptions'!$O$30</f>
        <v>53688.508064516122</v>
      </c>
      <c r="J14" s="21">
        <f>$B14*'O&amp;M assumptions'!$O$30</f>
        <v>53688.508064516122</v>
      </c>
      <c r="K14" s="21">
        <f>$B14*'O&amp;M assumptions'!$O$30</f>
        <v>53688.508064516122</v>
      </c>
      <c r="L14" s="21">
        <f>$B14*'O&amp;M assumptions'!$O$30</f>
        <v>53688.508064516122</v>
      </c>
      <c r="M14" s="21">
        <f>$B14*'O&amp;M assumptions'!$O$30</f>
        <v>53688.508064516122</v>
      </c>
      <c r="N14" s="21">
        <f>$B14*'O&amp;M assumptions'!$O$30</f>
        <v>53688.508064516122</v>
      </c>
      <c r="O14" s="21">
        <f>IF($B14&gt;0, $B14*('O&amp;M assumptions'!$O$31+'O&amp;M assumptions'!$O$30),$B14*'O&amp;M assumptions'!$O$30)</f>
        <v>77982.862903225803</v>
      </c>
      <c r="P14" s="21">
        <f>$B14*'O&amp;M assumptions'!$O$30</f>
        <v>53688.508064516122</v>
      </c>
      <c r="Q14" s="21">
        <f>$B14*'O&amp;M assumptions'!$O$30</f>
        <v>53688.508064516122</v>
      </c>
      <c r="R14" s="21">
        <f>$B14*'O&amp;M assumptions'!$O$30</f>
        <v>53688.508064516122</v>
      </c>
      <c r="S14" s="21">
        <f>$B14*'O&amp;M assumptions'!$O$30</f>
        <v>53688.508064516122</v>
      </c>
      <c r="T14" s="21">
        <f>$B14*'O&amp;M assumptions'!$O$30</f>
        <v>53688.508064516122</v>
      </c>
      <c r="U14" s="21">
        <f>$B14*'O&amp;M assumptions'!$O$30</f>
        <v>53688.508064516122</v>
      </c>
      <c r="V14" s="21">
        <f>$B14*'O&amp;M assumptions'!$O$30</f>
        <v>53688.508064516122</v>
      </c>
      <c r="W14" s="21">
        <f>$B14*'O&amp;M assumptions'!$O$30</f>
        <v>53688.508064516122</v>
      </c>
      <c r="X14" s="21">
        <f>$B14*'O&amp;M assumptions'!$O$30</f>
        <v>53688.508064516122</v>
      </c>
      <c r="Y14" s="21">
        <f>IF($B14&gt;0, $B14*('O&amp;M assumptions'!$O$31+'O&amp;M assumptions'!$O$30),$B14*'O&amp;M assumptions'!$O$30)</f>
        <v>77982.862903225803</v>
      </c>
      <c r="Z14" s="21">
        <f>$B14*'O&amp;M assumptions'!$O$30</f>
        <v>53688.508064516122</v>
      </c>
      <c r="AA14" s="21">
        <f>$B14*'O&amp;M assumptions'!$O$30</f>
        <v>53688.508064516122</v>
      </c>
      <c r="AB14" s="21">
        <f>$B14*'O&amp;M assumptions'!$O$30</f>
        <v>53688.508064516122</v>
      </c>
      <c r="AC14" s="21">
        <f>$B14*'O&amp;M assumptions'!$O$30</f>
        <v>53688.508064516122</v>
      </c>
      <c r="AD14" s="21">
        <f>$B14*'O&amp;M assumptions'!$O$30</f>
        <v>53688.508064516122</v>
      </c>
      <c r="AE14" s="21">
        <f>$B14*'O&amp;M assumptions'!$O$30</f>
        <v>53688.508064516122</v>
      </c>
      <c r="AF14" s="21">
        <f>$B14*'O&amp;M assumptions'!$O$30</f>
        <v>53688.508064516122</v>
      </c>
      <c r="AG14" s="21">
        <f>$B14*'O&amp;M assumptions'!$O$30</f>
        <v>53688.508064516122</v>
      </c>
      <c r="AH14" s="21">
        <f>$B14*'O&amp;M assumptions'!$O$30</f>
        <v>53688.508064516122</v>
      </c>
      <c r="AI14" s="21">
        <f>IF($B14&gt;0, $B14*('O&amp;M assumptions'!$O$31+'O&amp;M assumptions'!$O$30),$B14*'O&amp;M assumptions'!$O$30)</f>
        <v>77982.862903225803</v>
      </c>
    </row>
    <row r="15" spans="1:37" x14ac:dyDescent="0.3">
      <c r="A15" s="2">
        <f t="shared" si="3"/>
        <v>2025</v>
      </c>
      <c r="B15" s="148">
        <f>'business decision calcs'!D16</f>
        <v>25</v>
      </c>
      <c r="C15" s="148"/>
      <c r="E15" s="187"/>
      <c r="F15" s="187"/>
      <c r="G15" s="21">
        <f>$B15*'O&amp;M assumptions'!$O$28</f>
        <v>53688.508064516122</v>
      </c>
      <c r="H15" s="21">
        <f>$B15*'O&amp;M assumptions'!$O$29</f>
        <v>53688.508064516122</v>
      </c>
      <c r="I15" s="21">
        <f>$B15*'O&amp;M assumptions'!$O$30</f>
        <v>53688.508064516122</v>
      </c>
      <c r="J15" s="21">
        <f>$B15*'O&amp;M assumptions'!$O$30</f>
        <v>53688.508064516122</v>
      </c>
      <c r="K15" s="21">
        <f>$B15*'O&amp;M assumptions'!$O$30</f>
        <v>53688.508064516122</v>
      </c>
      <c r="L15" s="21">
        <f>$B15*'O&amp;M assumptions'!$O$30</f>
        <v>53688.508064516122</v>
      </c>
      <c r="M15" s="21">
        <f>$B15*'O&amp;M assumptions'!$O$30</f>
        <v>53688.508064516122</v>
      </c>
      <c r="N15" s="21">
        <f>$B15*'O&amp;M assumptions'!$O$30</f>
        <v>53688.508064516122</v>
      </c>
      <c r="O15" s="21">
        <f>$B15*'O&amp;M assumptions'!$O$30</f>
        <v>53688.508064516122</v>
      </c>
      <c r="P15" s="21">
        <f>IF($B15&gt;0, $B15*('O&amp;M assumptions'!$O$31+'O&amp;M assumptions'!$O$30),$B15*'O&amp;M assumptions'!$O$30)</f>
        <v>77982.862903225803</v>
      </c>
      <c r="Q15" s="21">
        <f>$B15*'O&amp;M assumptions'!$O$30</f>
        <v>53688.508064516122</v>
      </c>
      <c r="R15" s="21">
        <f>$B15*'O&amp;M assumptions'!$O$30</f>
        <v>53688.508064516122</v>
      </c>
      <c r="S15" s="21">
        <f>$B15*'O&amp;M assumptions'!$O$30</f>
        <v>53688.508064516122</v>
      </c>
      <c r="T15" s="21">
        <f>$B15*'O&amp;M assumptions'!$O$30</f>
        <v>53688.508064516122</v>
      </c>
      <c r="U15" s="21">
        <f>$B15*'O&amp;M assumptions'!$O$30</f>
        <v>53688.508064516122</v>
      </c>
      <c r="V15" s="21">
        <f>$B15*'O&amp;M assumptions'!$O$30</f>
        <v>53688.508064516122</v>
      </c>
      <c r="W15" s="21">
        <f>$B15*'O&amp;M assumptions'!$O$30</f>
        <v>53688.508064516122</v>
      </c>
      <c r="X15" s="21">
        <f>$B15*'O&amp;M assumptions'!$O$30</f>
        <v>53688.508064516122</v>
      </c>
      <c r="Y15" s="21">
        <f>$B15*'O&amp;M assumptions'!$O$30</f>
        <v>53688.508064516122</v>
      </c>
      <c r="Z15" s="21">
        <f>IF($B15&gt;0, $B15*('O&amp;M assumptions'!$O$31+'O&amp;M assumptions'!$O$30),$B15*'O&amp;M assumptions'!$O$30)</f>
        <v>77982.862903225803</v>
      </c>
      <c r="AA15" s="21">
        <f>$B15*'O&amp;M assumptions'!$O$30</f>
        <v>53688.508064516122</v>
      </c>
      <c r="AB15" s="21">
        <f>$B15*'O&amp;M assumptions'!$O$30</f>
        <v>53688.508064516122</v>
      </c>
      <c r="AC15" s="21">
        <f>$B15*'O&amp;M assumptions'!$O$30</f>
        <v>53688.508064516122</v>
      </c>
      <c r="AD15" s="21">
        <f>$B15*'O&amp;M assumptions'!$O$30</f>
        <v>53688.508064516122</v>
      </c>
      <c r="AE15" s="21">
        <f>$B15*'O&amp;M assumptions'!$O$30</f>
        <v>53688.508064516122</v>
      </c>
      <c r="AF15" s="21">
        <f>$B15*'O&amp;M assumptions'!$O$30</f>
        <v>53688.508064516122</v>
      </c>
      <c r="AG15" s="21">
        <f>$B15*'O&amp;M assumptions'!$O$30</f>
        <v>53688.508064516122</v>
      </c>
      <c r="AH15" s="21">
        <f>$B15*'O&amp;M assumptions'!$O$30</f>
        <v>53688.508064516122</v>
      </c>
      <c r="AI15" s="21">
        <f>$B15*'O&amp;M assumptions'!$O$30</f>
        <v>53688.508064516122</v>
      </c>
      <c r="AJ15" s="21">
        <f>IF($B15&gt;0, $B15*('O&amp;M assumptions'!$O$31+'O&amp;M assumptions'!$O$30),$B15*'O&amp;M assumptions'!$O$30)</f>
        <v>77982.862903225803</v>
      </c>
    </row>
    <row r="16" spans="1:37" x14ac:dyDescent="0.3">
      <c r="A16" s="2">
        <f t="shared" si="3"/>
        <v>2026</v>
      </c>
      <c r="B16" s="148">
        <f>'business decision calcs'!D17</f>
        <v>25</v>
      </c>
      <c r="C16" s="148"/>
      <c r="E16" s="187"/>
      <c r="F16" s="187"/>
      <c r="G16" s="187"/>
      <c r="H16" s="21">
        <f>$B16*'O&amp;M assumptions'!$O$28</f>
        <v>53688.508064516122</v>
      </c>
      <c r="I16" s="21">
        <f>$B16*'O&amp;M assumptions'!$O$29</f>
        <v>53688.508064516122</v>
      </c>
      <c r="J16" s="21">
        <f>$B16*'O&amp;M assumptions'!$O$30</f>
        <v>53688.508064516122</v>
      </c>
      <c r="K16" s="21">
        <f>$B16*'O&amp;M assumptions'!$O$30</f>
        <v>53688.508064516122</v>
      </c>
      <c r="L16" s="21">
        <f>$B16*'O&amp;M assumptions'!$O$30</f>
        <v>53688.508064516122</v>
      </c>
      <c r="M16" s="21">
        <f>$B16*'O&amp;M assumptions'!$O$30</f>
        <v>53688.508064516122</v>
      </c>
      <c r="N16" s="21">
        <f>$B16*'O&amp;M assumptions'!$O$30</f>
        <v>53688.508064516122</v>
      </c>
      <c r="O16" s="21">
        <f>$B16*'O&amp;M assumptions'!$O$30</f>
        <v>53688.508064516122</v>
      </c>
      <c r="P16" s="21">
        <f>$B16*'O&amp;M assumptions'!$O$30</f>
        <v>53688.508064516122</v>
      </c>
      <c r="Q16" s="21">
        <f>IF($B16&gt;0, $B16*('O&amp;M assumptions'!$O$31+'O&amp;M assumptions'!$O$30),$B16*'O&amp;M assumptions'!$O$30)</f>
        <v>77982.862903225803</v>
      </c>
      <c r="R16" s="21">
        <f>$B16*'O&amp;M assumptions'!$O$30</f>
        <v>53688.508064516122</v>
      </c>
      <c r="S16" s="21">
        <f>$B16*'O&amp;M assumptions'!$O$30</f>
        <v>53688.508064516122</v>
      </c>
      <c r="T16" s="21">
        <f>$B16*'O&amp;M assumptions'!$O$30</f>
        <v>53688.508064516122</v>
      </c>
      <c r="U16" s="21">
        <f>$B16*'O&amp;M assumptions'!$O$30</f>
        <v>53688.508064516122</v>
      </c>
      <c r="V16" s="21">
        <f>$B16*'O&amp;M assumptions'!$O$30</f>
        <v>53688.508064516122</v>
      </c>
      <c r="W16" s="21">
        <f>$B16*'O&amp;M assumptions'!$O$30</f>
        <v>53688.508064516122</v>
      </c>
      <c r="X16" s="21">
        <f>$B16*'O&amp;M assumptions'!$O$30</f>
        <v>53688.508064516122</v>
      </c>
      <c r="Y16" s="21">
        <f>$B16*'O&amp;M assumptions'!$O$30</f>
        <v>53688.508064516122</v>
      </c>
      <c r="Z16" s="21">
        <f>$B16*'O&amp;M assumptions'!$O$30</f>
        <v>53688.508064516122</v>
      </c>
      <c r="AA16" s="21">
        <f>IF($B16&gt;0, $B16*('O&amp;M assumptions'!$O$31+'O&amp;M assumptions'!$O$30),$B16*'O&amp;M assumptions'!$O$30)</f>
        <v>77982.862903225803</v>
      </c>
      <c r="AB16" s="21">
        <f>$B16*'O&amp;M assumptions'!$O$30</f>
        <v>53688.508064516122</v>
      </c>
      <c r="AC16" s="21">
        <f>$B16*'O&amp;M assumptions'!$O$30</f>
        <v>53688.508064516122</v>
      </c>
      <c r="AD16" s="21">
        <f>$B16*'O&amp;M assumptions'!$O$30</f>
        <v>53688.508064516122</v>
      </c>
      <c r="AE16" s="21">
        <f>$B16*'O&amp;M assumptions'!$O$30</f>
        <v>53688.508064516122</v>
      </c>
      <c r="AF16" s="21">
        <f>$B16*'O&amp;M assumptions'!$O$30</f>
        <v>53688.508064516122</v>
      </c>
      <c r="AG16" s="21">
        <f>$B16*'O&amp;M assumptions'!$O$30</f>
        <v>53688.508064516122</v>
      </c>
      <c r="AH16" s="21">
        <f>$B16*'O&amp;M assumptions'!$O$30</f>
        <v>53688.508064516122</v>
      </c>
      <c r="AI16" s="21">
        <f>$B16*'O&amp;M assumptions'!$O$30</f>
        <v>53688.508064516122</v>
      </c>
      <c r="AJ16" s="21">
        <f>$B16*'O&amp;M assumptions'!$O$30</f>
        <v>53688.508064516122</v>
      </c>
      <c r="AK16" s="21">
        <f>IF($B16&gt;0, $B16*('O&amp;M assumptions'!$O$31+'O&amp;M assumptions'!$O$30),$B16*'O&amp;M assumptions'!$O$30)</f>
        <v>77982.862903225803</v>
      </c>
    </row>
    <row r="17" spans="1:53" x14ac:dyDescent="0.3">
      <c r="A17" s="2">
        <f t="shared" si="3"/>
        <v>2027</v>
      </c>
      <c r="B17" s="148">
        <f>'business decision calcs'!D18</f>
        <v>25</v>
      </c>
      <c r="C17" s="148"/>
      <c r="E17" s="187"/>
      <c r="F17" s="187"/>
      <c r="G17" s="187"/>
      <c r="H17" s="187"/>
      <c r="I17" s="21">
        <f>$B17*'O&amp;M assumptions'!$O$28</f>
        <v>53688.508064516122</v>
      </c>
      <c r="J17" s="21">
        <f>$B17*'O&amp;M assumptions'!$O$29</f>
        <v>53688.508064516122</v>
      </c>
      <c r="K17" s="21">
        <f>$B17*'O&amp;M assumptions'!$O$30</f>
        <v>53688.508064516122</v>
      </c>
      <c r="L17" s="21">
        <f>$B17*'O&amp;M assumptions'!$O$30</f>
        <v>53688.508064516122</v>
      </c>
      <c r="M17" s="21">
        <f>$B17*'O&amp;M assumptions'!$O$30</f>
        <v>53688.508064516122</v>
      </c>
      <c r="N17" s="21">
        <f>$B17*'O&amp;M assumptions'!$O$30</f>
        <v>53688.508064516122</v>
      </c>
      <c r="O17" s="21">
        <f>$B17*'O&amp;M assumptions'!$O$30</f>
        <v>53688.508064516122</v>
      </c>
      <c r="P17" s="21">
        <f>$B17*'O&amp;M assumptions'!$O$30</f>
        <v>53688.508064516122</v>
      </c>
      <c r="Q17" s="21">
        <f>$B17*'O&amp;M assumptions'!$O$30</f>
        <v>53688.508064516122</v>
      </c>
      <c r="R17" s="21">
        <f>IF($B17&gt;0, $B17*('O&amp;M assumptions'!$O$31+'O&amp;M assumptions'!$O$30),$B17*'O&amp;M assumptions'!$O$30)</f>
        <v>77982.862903225803</v>
      </c>
      <c r="S17" s="21">
        <f>$B17*'O&amp;M assumptions'!$O$30</f>
        <v>53688.508064516122</v>
      </c>
      <c r="T17" s="21">
        <f>$B17*'O&amp;M assumptions'!$O$30</f>
        <v>53688.508064516122</v>
      </c>
      <c r="U17" s="21">
        <f>$B17*'O&amp;M assumptions'!$O$30</f>
        <v>53688.508064516122</v>
      </c>
      <c r="V17" s="21">
        <f>$B17*'O&amp;M assumptions'!$O$30</f>
        <v>53688.508064516122</v>
      </c>
      <c r="W17" s="21">
        <f>$B17*'O&amp;M assumptions'!$O$30</f>
        <v>53688.508064516122</v>
      </c>
      <c r="X17" s="21">
        <f>$B17*'O&amp;M assumptions'!$O$30</f>
        <v>53688.508064516122</v>
      </c>
      <c r="Y17" s="21">
        <f>$B17*'O&amp;M assumptions'!$O$30</f>
        <v>53688.508064516122</v>
      </c>
      <c r="Z17" s="21">
        <f>$B17*'O&amp;M assumptions'!$O$30</f>
        <v>53688.508064516122</v>
      </c>
      <c r="AA17" s="21">
        <f>$B17*'O&amp;M assumptions'!$O$30</f>
        <v>53688.508064516122</v>
      </c>
      <c r="AB17" s="21">
        <f>IF($B17&gt;0, $B17*('O&amp;M assumptions'!$O$31+'O&amp;M assumptions'!$O$30),$B17*'O&amp;M assumptions'!$O$30)</f>
        <v>77982.862903225803</v>
      </c>
      <c r="AC17" s="21">
        <f>$B17*'O&amp;M assumptions'!$O$30</f>
        <v>53688.508064516122</v>
      </c>
      <c r="AD17" s="21">
        <f>$B17*'O&amp;M assumptions'!$O$30</f>
        <v>53688.508064516122</v>
      </c>
      <c r="AE17" s="21">
        <f>$B17*'O&amp;M assumptions'!$O$30</f>
        <v>53688.508064516122</v>
      </c>
      <c r="AF17" s="21">
        <f>$B17*'O&amp;M assumptions'!$O$30</f>
        <v>53688.508064516122</v>
      </c>
      <c r="AG17" s="21">
        <f>$B17*'O&amp;M assumptions'!$O$30</f>
        <v>53688.508064516122</v>
      </c>
      <c r="AH17" s="21">
        <f>$B17*'O&amp;M assumptions'!$O$30</f>
        <v>53688.508064516122</v>
      </c>
      <c r="AI17" s="21">
        <f>$B17*'O&amp;M assumptions'!$O$30</f>
        <v>53688.508064516122</v>
      </c>
      <c r="AJ17" s="21">
        <f>$B17*'O&amp;M assumptions'!$O$30</f>
        <v>53688.508064516122</v>
      </c>
      <c r="AK17" s="21">
        <f>$B17*'O&amp;M assumptions'!$O$30</f>
        <v>53688.508064516122</v>
      </c>
      <c r="AL17" s="21">
        <f>IF($B17&gt;0, $B17*('O&amp;M assumptions'!$O$31+'O&amp;M assumptions'!$O$30),$B17*'O&amp;M assumptions'!$O$30)</f>
        <v>77982.862903225803</v>
      </c>
    </row>
    <row r="18" spans="1:53" x14ac:dyDescent="0.3">
      <c r="A18" s="2">
        <f t="shared" si="3"/>
        <v>2028</v>
      </c>
      <c r="B18" s="148">
        <f>'business decision calcs'!D19</f>
        <v>10</v>
      </c>
      <c r="C18" s="148"/>
      <c r="E18" s="187"/>
      <c r="F18" s="187"/>
      <c r="G18" s="187"/>
      <c r="H18" s="187"/>
      <c r="I18" s="187"/>
      <c r="J18" s="21">
        <f>$B18*'O&amp;M assumptions'!$O$28</f>
        <v>21475.403225806447</v>
      </c>
      <c r="K18" s="21">
        <f>$B18*'O&amp;M assumptions'!$O$29</f>
        <v>21475.403225806447</v>
      </c>
      <c r="L18" s="21">
        <f>$B18*'O&amp;M assumptions'!$O$30</f>
        <v>21475.403225806447</v>
      </c>
      <c r="M18" s="21">
        <f>$B18*'O&amp;M assumptions'!$O$30</f>
        <v>21475.403225806447</v>
      </c>
      <c r="N18" s="21">
        <f>$B18*'O&amp;M assumptions'!$O$30</f>
        <v>21475.403225806447</v>
      </c>
      <c r="O18" s="21">
        <f>$B18*'O&amp;M assumptions'!$O$30</f>
        <v>21475.403225806447</v>
      </c>
      <c r="P18" s="21">
        <f>$B18*'O&amp;M assumptions'!$O$30</f>
        <v>21475.403225806447</v>
      </c>
      <c r="Q18" s="21">
        <f>$B18*'O&amp;M assumptions'!$O$30</f>
        <v>21475.403225806447</v>
      </c>
      <c r="R18" s="21">
        <f>$B18*'O&amp;M assumptions'!$O$30</f>
        <v>21475.403225806447</v>
      </c>
      <c r="S18" s="21">
        <f>IF($B18&gt;0, $B18*('O&amp;M assumptions'!$O$31+'O&amp;M assumptions'!$O$30),$B18*'O&amp;M assumptions'!$O$30)</f>
        <v>31193.145161290322</v>
      </c>
      <c r="T18" s="21">
        <f>$B18*'O&amp;M assumptions'!$O$30</f>
        <v>21475.403225806447</v>
      </c>
      <c r="U18" s="21">
        <f>$B18*'O&amp;M assumptions'!$O$30</f>
        <v>21475.403225806447</v>
      </c>
      <c r="V18" s="21">
        <f>$B18*'O&amp;M assumptions'!$O$30</f>
        <v>21475.403225806447</v>
      </c>
      <c r="W18" s="21">
        <f>$B18*'O&amp;M assumptions'!$O$30</f>
        <v>21475.403225806447</v>
      </c>
      <c r="X18" s="21">
        <f>$B18*'O&amp;M assumptions'!$O$30</f>
        <v>21475.403225806447</v>
      </c>
      <c r="Y18" s="21">
        <f>$B18*'O&amp;M assumptions'!$O$30</f>
        <v>21475.403225806447</v>
      </c>
      <c r="Z18" s="21">
        <f>$B18*'O&amp;M assumptions'!$O$30</f>
        <v>21475.403225806447</v>
      </c>
      <c r="AA18" s="21">
        <f>$B18*'O&amp;M assumptions'!$O$30</f>
        <v>21475.403225806447</v>
      </c>
      <c r="AB18" s="21">
        <f>$B18*'O&amp;M assumptions'!$O$30</f>
        <v>21475.403225806447</v>
      </c>
      <c r="AC18" s="21">
        <f>IF($B18&gt;0, $B18*('O&amp;M assumptions'!$O$31+'O&amp;M assumptions'!$O$30),$B18*'O&amp;M assumptions'!$O$30)</f>
        <v>31193.145161290322</v>
      </c>
      <c r="AD18" s="21">
        <f>$B18*'O&amp;M assumptions'!$O$30</f>
        <v>21475.403225806447</v>
      </c>
      <c r="AE18" s="21">
        <f>$B18*'O&amp;M assumptions'!$O$30</f>
        <v>21475.403225806447</v>
      </c>
      <c r="AF18" s="21">
        <f>$B18*'O&amp;M assumptions'!$O$30</f>
        <v>21475.403225806447</v>
      </c>
      <c r="AG18" s="21">
        <f>$B18*'O&amp;M assumptions'!$O$30</f>
        <v>21475.403225806447</v>
      </c>
      <c r="AH18" s="21">
        <f>$B18*'O&amp;M assumptions'!$O$30</f>
        <v>21475.403225806447</v>
      </c>
      <c r="AI18" s="21">
        <f>$B18*'O&amp;M assumptions'!$O$30</f>
        <v>21475.403225806447</v>
      </c>
      <c r="AJ18" s="21">
        <f>$B18*'O&amp;M assumptions'!$O$30</f>
        <v>21475.403225806447</v>
      </c>
      <c r="AK18" s="21">
        <f>$B18*'O&amp;M assumptions'!$O$30</f>
        <v>21475.403225806447</v>
      </c>
      <c r="AL18" s="21">
        <f>$B18*'O&amp;M assumptions'!$O$30</f>
        <v>21475.403225806447</v>
      </c>
      <c r="AM18" s="21">
        <f>IF($B18&gt;0, $B18*('O&amp;M assumptions'!$O$31+'O&amp;M assumptions'!$O$30),$B18*'O&amp;M assumptions'!$O$30)</f>
        <v>31193.145161290322</v>
      </c>
    </row>
    <row r="19" spans="1:53" x14ac:dyDescent="0.3">
      <c r="A19" s="2">
        <f t="shared" si="3"/>
        <v>2029</v>
      </c>
      <c r="B19" s="148">
        <f>'business decision calcs'!D20</f>
        <v>0</v>
      </c>
      <c r="C19" s="148"/>
      <c r="E19" s="187"/>
      <c r="F19" s="187"/>
      <c r="G19" s="187"/>
      <c r="H19" s="187"/>
      <c r="I19" s="187"/>
      <c r="J19" s="187"/>
      <c r="K19" s="21">
        <f>$B19*'O&amp;M assumptions'!$O$28</f>
        <v>0</v>
      </c>
      <c r="L19" s="21">
        <f>$B19*'O&amp;M assumptions'!$O$29</f>
        <v>0</v>
      </c>
      <c r="M19" s="21">
        <f>$B19*'O&amp;M assumptions'!$O$30</f>
        <v>0</v>
      </c>
      <c r="N19" s="21">
        <f>$B19*'O&amp;M assumptions'!$O$30</f>
        <v>0</v>
      </c>
      <c r="O19" s="21">
        <f>$B19*'O&amp;M assumptions'!$O$30</f>
        <v>0</v>
      </c>
      <c r="P19" s="21">
        <f>$B19*'O&amp;M assumptions'!$O$30</f>
        <v>0</v>
      </c>
      <c r="Q19" s="21">
        <f>$B19*'O&amp;M assumptions'!$O$30</f>
        <v>0</v>
      </c>
      <c r="R19" s="21">
        <f>$B19*'O&amp;M assumptions'!$O$30</f>
        <v>0</v>
      </c>
      <c r="S19" s="21">
        <f>$B19*'O&amp;M assumptions'!$O$30</f>
        <v>0</v>
      </c>
      <c r="T19" s="21">
        <f>IF($B19&gt;0, $B19*('O&amp;M assumptions'!$O$31+'O&amp;M assumptions'!$O$30),$B19*'O&amp;M assumptions'!$O$30)</f>
        <v>0</v>
      </c>
      <c r="U19" s="21">
        <f>$B19*'O&amp;M assumptions'!$O$30</f>
        <v>0</v>
      </c>
      <c r="V19" s="21">
        <f>$B19*'O&amp;M assumptions'!$O$30</f>
        <v>0</v>
      </c>
      <c r="W19" s="21">
        <f>$B19*'O&amp;M assumptions'!$O$30</f>
        <v>0</v>
      </c>
      <c r="X19" s="21">
        <f>$B19*'O&amp;M assumptions'!$O$30</f>
        <v>0</v>
      </c>
      <c r="Y19" s="21">
        <f>$B19*'O&amp;M assumptions'!$O$30</f>
        <v>0</v>
      </c>
      <c r="Z19" s="21">
        <f>$B19*'O&amp;M assumptions'!$O$30</f>
        <v>0</v>
      </c>
      <c r="AA19" s="21">
        <f>$B19*'O&amp;M assumptions'!$O$30</f>
        <v>0</v>
      </c>
      <c r="AB19" s="21">
        <f>$B19*'O&amp;M assumptions'!$O$30</f>
        <v>0</v>
      </c>
      <c r="AC19" s="21">
        <f>$B19*'O&amp;M assumptions'!$O$30</f>
        <v>0</v>
      </c>
      <c r="AD19" s="21">
        <f>IF($B19&gt;0, $B19*('O&amp;M assumptions'!$O$31+'O&amp;M assumptions'!$O$30),$B19*'O&amp;M assumptions'!$O$30)</f>
        <v>0</v>
      </c>
      <c r="AE19" s="21">
        <f>$B19*'O&amp;M assumptions'!$O$30</f>
        <v>0</v>
      </c>
      <c r="AF19" s="21">
        <f>$B19*'O&amp;M assumptions'!$O$30</f>
        <v>0</v>
      </c>
      <c r="AG19" s="21">
        <f>$B19*'O&amp;M assumptions'!$O$30</f>
        <v>0</v>
      </c>
      <c r="AH19" s="21">
        <f>$B19*'O&amp;M assumptions'!$O$30</f>
        <v>0</v>
      </c>
      <c r="AI19" s="21">
        <f>$B19*'O&amp;M assumptions'!$O$30</f>
        <v>0</v>
      </c>
      <c r="AJ19" s="21">
        <f>$B19*'O&amp;M assumptions'!$O$30</f>
        <v>0</v>
      </c>
      <c r="AK19" s="21">
        <f>$B19*'O&amp;M assumptions'!$O$30</f>
        <v>0</v>
      </c>
      <c r="AL19" s="21">
        <f>$B19*'O&amp;M assumptions'!$O$30</f>
        <v>0</v>
      </c>
      <c r="AM19" s="21">
        <f>$B19*'O&amp;M assumptions'!$O$30</f>
        <v>0</v>
      </c>
      <c r="AN19" s="21">
        <f>IF($B19&gt;0, $B19*('O&amp;M assumptions'!$O$31+'O&amp;M assumptions'!$O$30),$B19*'O&amp;M assumptions'!$O$30)</f>
        <v>0</v>
      </c>
    </row>
    <row r="20" spans="1:53" x14ac:dyDescent="0.3">
      <c r="A20" s="2">
        <f t="shared" si="3"/>
        <v>2030</v>
      </c>
      <c r="B20" s="148">
        <f>'business decision calcs'!D21</f>
        <v>0</v>
      </c>
      <c r="C20" s="148"/>
      <c r="E20" s="187"/>
      <c r="F20" s="187"/>
      <c r="G20" s="187"/>
      <c r="H20" s="187"/>
      <c r="I20" s="187"/>
      <c r="J20" s="187"/>
      <c r="K20" s="187"/>
      <c r="L20" s="21">
        <f>$B20*'O&amp;M assumptions'!$O$28</f>
        <v>0</v>
      </c>
      <c r="M20" s="21">
        <f>$B20*'O&amp;M assumptions'!$O$29</f>
        <v>0</v>
      </c>
      <c r="N20" s="21">
        <f>$B20*'O&amp;M assumptions'!$O$30</f>
        <v>0</v>
      </c>
      <c r="O20" s="21">
        <f>$B20*'O&amp;M assumptions'!$O$30</f>
        <v>0</v>
      </c>
      <c r="P20" s="21">
        <f>$B20*'O&amp;M assumptions'!$O$30</f>
        <v>0</v>
      </c>
      <c r="Q20" s="21">
        <f>$B20*'O&amp;M assumptions'!$O$30</f>
        <v>0</v>
      </c>
      <c r="R20" s="21">
        <f>$B20*'O&amp;M assumptions'!$O$30</f>
        <v>0</v>
      </c>
      <c r="S20" s="21">
        <f>$B20*'O&amp;M assumptions'!$O$30</f>
        <v>0</v>
      </c>
      <c r="T20" s="21">
        <f>$B20*'O&amp;M assumptions'!$O$30</f>
        <v>0</v>
      </c>
      <c r="U20" s="21">
        <f>IF($B20&gt;0, $B20*('O&amp;M assumptions'!$O$31+'O&amp;M assumptions'!$O$30),$B20*'O&amp;M assumptions'!$O$30)</f>
        <v>0</v>
      </c>
      <c r="V20" s="21">
        <f>$B20*'O&amp;M assumptions'!$O$30</f>
        <v>0</v>
      </c>
      <c r="W20" s="21">
        <f>$B20*'O&amp;M assumptions'!$O$30</f>
        <v>0</v>
      </c>
      <c r="X20" s="21">
        <f>$B20*'O&amp;M assumptions'!$O$30</f>
        <v>0</v>
      </c>
      <c r="Y20" s="21">
        <f>$B20*'O&amp;M assumptions'!$O$30</f>
        <v>0</v>
      </c>
      <c r="Z20" s="21">
        <f>$B20*'O&amp;M assumptions'!$O$30</f>
        <v>0</v>
      </c>
      <c r="AA20" s="21">
        <f>$B20*'O&amp;M assumptions'!$O$30</f>
        <v>0</v>
      </c>
      <c r="AB20" s="21">
        <f>$B20*'O&amp;M assumptions'!$O$30</f>
        <v>0</v>
      </c>
      <c r="AC20" s="21">
        <f>$B20*'O&amp;M assumptions'!$O$30</f>
        <v>0</v>
      </c>
      <c r="AD20" s="21">
        <f>$B20*'O&amp;M assumptions'!$O$30</f>
        <v>0</v>
      </c>
      <c r="AE20" s="21">
        <f>IF($B20&gt;0, $B20*('O&amp;M assumptions'!$O$31+'O&amp;M assumptions'!$O$30),$B20*'O&amp;M assumptions'!$O$30)</f>
        <v>0</v>
      </c>
      <c r="AF20" s="21">
        <f>$B20*'O&amp;M assumptions'!$O$30</f>
        <v>0</v>
      </c>
      <c r="AG20" s="21">
        <f>$B20*'O&amp;M assumptions'!$O$30</f>
        <v>0</v>
      </c>
      <c r="AH20" s="21">
        <f>$B20*'O&amp;M assumptions'!$O$30</f>
        <v>0</v>
      </c>
      <c r="AI20" s="21">
        <f>$B20*'O&amp;M assumptions'!$O$30</f>
        <v>0</v>
      </c>
      <c r="AJ20" s="21">
        <f>$B20*'O&amp;M assumptions'!$O$30</f>
        <v>0</v>
      </c>
      <c r="AK20" s="21">
        <f>$B20*'O&amp;M assumptions'!$O$30</f>
        <v>0</v>
      </c>
      <c r="AL20" s="21">
        <f>$B20*'O&amp;M assumptions'!$O$30</f>
        <v>0</v>
      </c>
      <c r="AM20" s="21">
        <f>$B20*'O&amp;M assumptions'!$O$30</f>
        <v>0</v>
      </c>
      <c r="AN20" s="21">
        <f>$B20*'O&amp;M assumptions'!$O$30</f>
        <v>0</v>
      </c>
      <c r="AO20" s="21">
        <f>IF($B20&gt;0, $B20*('O&amp;M assumptions'!$O$31+'O&amp;M assumptions'!$O$30),$B20*'O&amp;M assumptions'!$O$30)</f>
        <v>0</v>
      </c>
    </row>
    <row r="21" spans="1:53" x14ac:dyDescent="0.3">
      <c r="A21" s="2">
        <f t="shared" si="3"/>
        <v>2031</v>
      </c>
      <c r="B21" s="148">
        <f>'business decision calcs'!D22</f>
        <v>0</v>
      </c>
      <c r="C21" s="148"/>
      <c r="E21" s="187"/>
      <c r="F21" s="187"/>
      <c r="G21" s="187"/>
      <c r="H21" s="187"/>
      <c r="I21" s="187"/>
      <c r="J21" s="187"/>
      <c r="K21" s="187"/>
      <c r="L21" s="187"/>
      <c r="M21" s="21">
        <f>$B21*'O&amp;M assumptions'!$O$28</f>
        <v>0</v>
      </c>
      <c r="N21" s="21">
        <f>$B21*'O&amp;M assumptions'!$O$29</f>
        <v>0</v>
      </c>
      <c r="O21" s="21">
        <f>$B21*'O&amp;M assumptions'!$O$30</f>
        <v>0</v>
      </c>
      <c r="P21" s="21">
        <f>$B21*'O&amp;M assumptions'!$O$30</f>
        <v>0</v>
      </c>
      <c r="Q21" s="21">
        <f>$B21*'O&amp;M assumptions'!$O$30</f>
        <v>0</v>
      </c>
      <c r="R21" s="21">
        <f>$B21*'O&amp;M assumptions'!$O$30</f>
        <v>0</v>
      </c>
      <c r="S21" s="21">
        <f>$B21*'O&amp;M assumptions'!$O$30</f>
        <v>0</v>
      </c>
      <c r="T21" s="21">
        <f>$B21*'O&amp;M assumptions'!$O$30</f>
        <v>0</v>
      </c>
      <c r="U21" s="21">
        <f>$B21*'O&amp;M assumptions'!$O$30</f>
        <v>0</v>
      </c>
      <c r="V21" s="21">
        <f>IF($B21&gt;0, $B21*('O&amp;M assumptions'!$O$31+'O&amp;M assumptions'!$O$30),$B21*'O&amp;M assumptions'!$O$30)</f>
        <v>0</v>
      </c>
      <c r="W21" s="21">
        <f>$B21*'O&amp;M assumptions'!$O$30</f>
        <v>0</v>
      </c>
      <c r="X21" s="21">
        <f>$B21*'O&amp;M assumptions'!$O$30</f>
        <v>0</v>
      </c>
      <c r="Y21" s="21">
        <f>$B21*'O&amp;M assumptions'!$O$30</f>
        <v>0</v>
      </c>
      <c r="Z21" s="21">
        <f>$B21*'O&amp;M assumptions'!$O$30</f>
        <v>0</v>
      </c>
      <c r="AA21" s="21">
        <f>$B21*'O&amp;M assumptions'!$O$30</f>
        <v>0</v>
      </c>
      <c r="AB21" s="21">
        <f>$B21*'O&amp;M assumptions'!$O$30</f>
        <v>0</v>
      </c>
      <c r="AC21" s="21">
        <f>$B21*'O&amp;M assumptions'!$O$30</f>
        <v>0</v>
      </c>
      <c r="AD21" s="21">
        <f>$B21*'O&amp;M assumptions'!$O$30</f>
        <v>0</v>
      </c>
      <c r="AE21" s="21">
        <f>$B21*'O&amp;M assumptions'!$O$30</f>
        <v>0</v>
      </c>
      <c r="AF21" s="21">
        <f>IF($B21&gt;0, $B21*('O&amp;M assumptions'!$O$31+'O&amp;M assumptions'!$O$30),$B21*'O&amp;M assumptions'!$O$30)</f>
        <v>0</v>
      </c>
      <c r="AG21" s="21">
        <f>$B21*'O&amp;M assumptions'!$O$30</f>
        <v>0</v>
      </c>
      <c r="AH21" s="21">
        <f>$B21*'O&amp;M assumptions'!$O$30</f>
        <v>0</v>
      </c>
      <c r="AI21" s="21">
        <f>$B21*'O&amp;M assumptions'!$O$30</f>
        <v>0</v>
      </c>
      <c r="AJ21" s="21">
        <f>$B21*'O&amp;M assumptions'!$O$30</f>
        <v>0</v>
      </c>
      <c r="AK21" s="21">
        <f>$B21*'O&amp;M assumptions'!$O$30</f>
        <v>0</v>
      </c>
      <c r="AL21" s="21">
        <f>$B21*'O&amp;M assumptions'!$O$30</f>
        <v>0</v>
      </c>
      <c r="AM21" s="21">
        <f>$B21*'O&amp;M assumptions'!$O$30</f>
        <v>0</v>
      </c>
      <c r="AN21" s="21">
        <f>$B21*'O&amp;M assumptions'!$O$30</f>
        <v>0</v>
      </c>
      <c r="AO21" s="21">
        <f>$B21*'O&amp;M assumptions'!$O$30</f>
        <v>0</v>
      </c>
      <c r="AP21" s="21">
        <f>IF($B21&gt;0, $B21*('O&amp;M assumptions'!$O$31+'O&amp;M assumptions'!$O$30),$B21*'O&amp;M assumptions'!$O$30)</f>
        <v>0</v>
      </c>
    </row>
    <row r="22" spans="1:53" x14ac:dyDescent="0.3">
      <c r="A22" s="2">
        <f t="shared" si="3"/>
        <v>2032</v>
      </c>
      <c r="B22" s="148">
        <f>'business decision calcs'!D23</f>
        <v>0</v>
      </c>
      <c r="C22" s="148"/>
      <c r="E22" s="187"/>
      <c r="F22" s="187"/>
      <c r="G22" s="187"/>
      <c r="H22" s="187"/>
      <c r="I22" s="187"/>
      <c r="J22" s="187"/>
      <c r="K22" s="187"/>
      <c r="L22" s="187"/>
      <c r="M22" s="187"/>
      <c r="N22" s="21">
        <f>$B22*'O&amp;M assumptions'!$O$28</f>
        <v>0</v>
      </c>
      <c r="O22" s="21">
        <f>$B22*'O&amp;M assumptions'!$O$29</f>
        <v>0</v>
      </c>
      <c r="P22" s="21">
        <f>$B22*'O&amp;M assumptions'!$O$30</f>
        <v>0</v>
      </c>
      <c r="Q22" s="21">
        <f>$B22*'O&amp;M assumptions'!$O$30</f>
        <v>0</v>
      </c>
      <c r="R22" s="21">
        <f>$B22*'O&amp;M assumptions'!$O$30</f>
        <v>0</v>
      </c>
      <c r="S22" s="21">
        <f>$B22*'O&amp;M assumptions'!$O$30</f>
        <v>0</v>
      </c>
      <c r="T22" s="21">
        <f>$B22*'O&amp;M assumptions'!$O$30</f>
        <v>0</v>
      </c>
      <c r="U22" s="21">
        <f>$B22*'O&amp;M assumptions'!$O$30</f>
        <v>0</v>
      </c>
      <c r="V22" s="21">
        <f>$B22*'O&amp;M assumptions'!$O$30</f>
        <v>0</v>
      </c>
      <c r="W22" s="21">
        <f>IF($B22&gt;0, $B22*('O&amp;M assumptions'!$O$31+'O&amp;M assumptions'!$O$30),$B22*'O&amp;M assumptions'!$O$30)</f>
        <v>0</v>
      </c>
      <c r="X22" s="21">
        <f>$B22*'O&amp;M assumptions'!$O$30</f>
        <v>0</v>
      </c>
      <c r="Y22" s="21">
        <f>$B22*'O&amp;M assumptions'!$O$30</f>
        <v>0</v>
      </c>
      <c r="Z22" s="21">
        <f>$B22*'O&amp;M assumptions'!$O$30</f>
        <v>0</v>
      </c>
      <c r="AA22" s="21">
        <f>$B22*'O&amp;M assumptions'!$O$30</f>
        <v>0</v>
      </c>
      <c r="AB22" s="21">
        <f>$B22*'O&amp;M assumptions'!$O$30</f>
        <v>0</v>
      </c>
      <c r="AC22" s="21">
        <f>$B22*'O&amp;M assumptions'!$O$30</f>
        <v>0</v>
      </c>
      <c r="AD22" s="21">
        <f>$B22*'O&amp;M assumptions'!$O$30</f>
        <v>0</v>
      </c>
      <c r="AE22" s="21">
        <f>$B22*'O&amp;M assumptions'!$O$30</f>
        <v>0</v>
      </c>
      <c r="AF22" s="21">
        <f>$B22*'O&amp;M assumptions'!$O$30</f>
        <v>0</v>
      </c>
      <c r="AG22" s="21">
        <f>IF($B22&gt;0, $B22*('O&amp;M assumptions'!$O$31+'O&amp;M assumptions'!$O$30),$B22*'O&amp;M assumptions'!$O$30)</f>
        <v>0</v>
      </c>
      <c r="AH22" s="21">
        <f>$B22*'O&amp;M assumptions'!$O$30</f>
        <v>0</v>
      </c>
      <c r="AI22" s="21">
        <f>$B22*'O&amp;M assumptions'!$O$30</f>
        <v>0</v>
      </c>
      <c r="AJ22" s="21">
        <f>$B22*'O&amp;M assumptions'!$O$30</f>
        <v>0</v>
      </c>
      <c r="AK22" s="21">
        <f>$B22*'O&amp;M assumptions'!$O$30</f>
        <v>0</v>
      </c>
      <c r="AL22" s="21">
        <f>$B22*'O&amp;M assumptions'!$O$30</f>
        <v>0</v>
      </c>
      <c r="AM22" s="21">
        <f>$B22*'O&amp;M assumptions'!$O$30</f>
        <v>0</v>
      </c>
      <c r="AN22" s="21">
        <f>$B22*'O&amp;M assumptions'!$O$30</f>
        <v>0</v>
      </c>
      <c r="AO22" s="21">
        <f>$B22*'O&amp;M assumptions'!$O$30</f>
        <v>0</v>
      </c>
      <c r="AP22" s="21">
        <f>$B22*'O&amp;M assumptions'!$O$30</f>
        <v>0</v>
      </c>
      <c r="AQ22" s="21">
        <f>IF($B22&gt;0, $B22*('O&amp;M assumptions'!$O$31+'O&amp;M assumptions'!$O$30),$B22*'O&amp;M assumptions'!$O$30)</f>
        <v>0</v>
      </c>
    </row>
    <row r="23" spans="1:53" x14ac:dyDescent="0.3">
      <c r="A23" s="2">
        <f t="shared" si="3"/>
        <v>2033</v>
      </c>
      <c r="B23" s="148">
        <f>'business decision calcs'!D24</f>
        <v>0</v>
      </c>
      <c r="C23" s="148"/>
      <c r="E23" s="187"/>
      <c r="F23" s="187"/>
      <c r="G23" s="187"/>
      <c r="H23" s="187"/>
      <c r="I23" s="187"/>
      <c r="J23" s="187"/>
      <c r="K23" s="187"/>
      <c r="L23" s="187"/>
      <c r="M23" s="187"/>
      <c r="N23" s="187"/>
      <c r="O23" s="21">
        <f>$B23*'O&amp;M assumptions'!$O$28</f>
        <v>0</v>
      </c>
      <c r="P23" s="21">
        <f>$B23*'O&amp;M assumptions'!$O$29</f>
        <v>0</v>
      </c>
      <c r="Q23" s="21">
        <f>$B23*'O&amp;M assumptions'!$O$30</f>
        <v>0</v>
      </c>
      <c r="R23" s="21">
        <f>$B23*'O&amp;M assumptions'!$O$30</f>
        <v>0</v>
      </c>
      <c r="S23" s="21">
        <f>$B23*'O&amp;M assumptions'!$O$30</f>
        <v>0</v>
      </c>
      <c r="T23" s="21">
        <f>$B23*'O&amp;M assumptions'!$O$30</f>
        <v>0</v>
      </c>
      <c r="U23" s="21">
        <f>$B23*'O&amp;M assumptions'!$O$30</f>
        <v>0</v>
      </c>
      <c r="V23" s="21">
        <f>$B23*'O&amp;M assumptions'!$O$30</f>
        <v>0</v>
      </c>
      <c r="W23" s="21">
        <f>$B23*'O&amp;M assumptions'!$O$30</f>
        <v>0</v>
      </c>
      <c r="X23" s="21">
        <f>IF($B23&gt;0, $B23*('O&amp;M assumptions'!$O$31+'O&amp;M assumptions'!$O$30),$B23*'O&amp;M assumptions'!$O$30)</f>
        <v>0</v>
      </c>
      <c r="Y23" s="21">
        <f>$B23*'O&amp;M assumptions'!$O$30</f>
        <v>0</v>
      </c>
      <c r="Z23" s="21">
        <f>$B23*'O&amp;M assumptions'!$O$30</f>
        <v>0</v>
      </c>
      <c r="AA23" s="21">
        <f>$B23*'O&amp;M assumptions'!$O$30</f>
        <v>0</v>
      </c>
      <c r="AB23" s="21">
        <f>$B23*'O&amp;M assumptions'!$O$30</f>
        <v>0</v>
      </c>
      <c r="AC23" s="21">
        <f>$B23*'O&amp;M assumptions'!$O$30</f>
        <v>0</v>
      </c>
      <c r="AD23" s="21">
        <f>$B23*'O&amp;M assumptions'!$O$30</f>
        <v>0</v>
      </c>
      <c r="AE23" s="21">
        <f>$B23*'O&amp;M assumptions'!$O$30</f>
        <v>0</v>
      </c>
      <c r="AF23" s="21">
        <f>$B23*'O&amp;M assumptions'!$O$30</f>
        <v>0</v>
      </c>
      <c r="AG23" s="21">
        <f>$B23*'O&amp;M assumptions'!$O$30</f>
        <v>0</v>
      </c>
      <c r="AH23" s="21">
        <f>IF($B23&gt;0, $B23*('O&amp;M assumptions'!$O$31+'O&amp;M assumptions'!$O$30),$B23*'O&amp;M assumptions'!$O$30)</f>
        <v>0</v>
      </c>
      <c r="AI23" s="21">
        <f>$B23*'O&amp;M assumptions'!$O$30</f>
        <v>0</v>
      </c>
      <c r="AJ23" s="21">
        <f>$B23*'O&amp;M assumptions'!$O$30</f>
        <v>0</v>
      </c>
      <c r="AK23" s="21">
        <f>$B23*'O&amp;M assumptions'!$O$30</f>
        <v>0</v>
      </c>
      <c r="AL23" s="21">
        <f>$B23*'O&amp;M assumptions'!$O$30</f>
        <v>0</v>
      </c>
      <c r="AM23" s="21">
        <f>$B23*'O&amp;M assumptions'!$O$30</f>
        <v>0</v>
      </c>
      <c r="AN23" s="21">
        <f>$B23*'O&amp;M assumptions'!$O$30</f>
        <v>0</v>
      </c>
      <c r="AO23" s="21">
        <f>$B23*'O&amp;M assumptions'!$O$30</f>
        <v>0</v>
      </c>
      <c r="AP23" s="21">
        <f>$B23*'O&amp;M assumptions'!$O$30</f>
        <v>0</v>
      </c>
      <c r="AQ23" s="21">
        <f>$B23*'O&amp;M assumptions'!$O$30</f>
        <v>0</v>
      </c>
      <c r="AR23" s="21">
        <f>IF($B23&gt;0, $B23*('O&amp;M assumptions'!$O$31+'O&amp;M assumptions'!$O$30),$B23*'O&amp;M assumptions'!$O$30)</f>
        <v>0</v>
      </c>
    </row>
    <row r="24" spans="1:53" x14ac:dyDescent="0.3">
      <c r="A24" s="2">
        <f t="shared" si="3"/>
        <v>2034</v>
      </c>
      <c r="B24" s="148">
        <f>'business decision calcs'!D25</f>
        <v>0</v>
      </c>
      <c r="C24" s="148"/>
      <c r="E24" s="187"/>
      <c r="F24" s="187"/>
      <c r="G24" s="187"/>
      <c r="H24" s="187"/>
      <c r="I24" s="187"/>
      <c r="J24" s="187"/>
      <c r="K24" s="187"/>
      <c r="L24" s="187"/>
      <c r="M24" s="187"/>
      <c r="N24" s="187"/>
      <c r="O24" s="187"/>
      <c r="P24" s="21">
        <f>$B24*'O&amp;M assumptions'!$O$28</f>
        <v>0</v>
      </c>
      <c r="Q24" s="21">
        <f>$B24*'O&amp;M assumptions'!$O$29</f>
        <v>0</v>
      </c>
      <c r="R24" s="21">
        <f>$B24*'O&amp;M assumptions'!$O$30</f>
        <v>0</v>
      </c>
      <c r="S24" s="21">
        <f>$B24*'O&amp;M assumptions'!$O$30</f>
        <v>0</v>
      </c>
      <c r="T24" s="21">
        <f>$B24*'O&amp;M assumptions'!$O$30</f>
        <v>0</v>
      </c>
      <c r="U24" s="21">
        <f>$B24*'O&amp;M assumptions'!$O$30</f>
        <v>0</v>
      </c>
      <c r="V24" s="21">
        <f>$B24*'O&amp;M assumptions'!$O$30</f>
        <v>0</v>
      </c>
      <c r="W24" s="21">
        <f>$B24*'O&amp;M assumptions'!$O$30</f>
        <v>0</v>
      </c>
      <c r="X24" s="21">
        <f>$B24*'O&amp;M assumptions'!$O$30</f>
        <v>0</v>
      </c>
      <c r="Y24" s="21">
        <f>IF($B24&gt;0, $B24*('O&amp;M assumptions'!$O$31+'O&amp;M assumptions'!$O$30),$B24*'O&amp;M assumptions'!$O$30)</f>
        <v>0</v>
      </c>
      <c r="Z24" s="21">
        <f>$B24*'O&amp;M assumptions'!$O$30</f>
        <v>0</v>
      </c>
      <c r="AA24" s="21">
        <f>$B24*'O&amp;M assumptions'!$O$30</f>
        <v>0</v>
      </c>
      <c r="AB24" s="21">
        <f>$B24*'O&amp;M assumptions'!$O$30</f>
        <v>0</v>
      </c>
      <c r="AC24" s="21">
        <f>$B24*'O&amp;M assumptions'!$O$30</f>
        <v>0</v>
      </c>
      <c r="AD24" s="21">
        <f>$B24*'O&amp;M assumptions'!$O$30</f>
        <v>0</v>
      </c>
      <c r="AE24" s="21">
        <f>$B24*'O&amp;M assumptions'!$O$30</f>
        <v>0</v>
      </c>
      <c r="AF24" s="21">
        <f>$B24*'O&amp;M assumptions'!$O$30</f>
        <v>0</v>
      </c>
      <c r="AG24" s="21">
        <f>$B24*'O&amp;M assumptions'!$O$30</f>
        <v>0</v>
      </c>
      <c r="AH24" s="21">
        <f>$B24*'O&amp;M assumptions'!$O$30</f>
        <v>0</v>
      </c>
      <c r="AI24" s="21">
        <f>IF($B24&gt;0, $B24*('O&amp;M assumptions'!$O$31+'O&amp;M assumptions'!$O$30),$B24*'O&amp;M assumptions'!$O$30)</f>
        <v>0</v>
      </c>
      <c r="AJ24" s="21">
        <f>$B24*'O&amp;M assumptions'!$O$30</f>
        <v>0</v>
      </c>
      <c r="AK24" s="21">
        <f>$B24*'O&amp;M assumptions'!$O$30</f>
        <v>0</v>
      </c>
      <c r="AL24" s="21">
        <f>$B24*'O&amp;M assumptions'!$O$30</f>
        <v>0</v>
      </c>
      <c r="AM24" s="21">
        <f>$B24*'O&amp;M assumptions'!$O$30</f>
        <v>0</v>
      </c>
      <c r="AN24" s="21">
        <f>$B24*'O&amp;M assumptions'!$O$30</f>
        <v>0</v>
      </c>
      <c r="AO24" s="21">
        <f>$B24*'O&amp;M assumptions'!$O$30</f>
        <v>0</v>
      </c>
      <c r="AP24" s="21">
        <f>$B24*'O&amp;M assumptions'!$O$30</f>
        <v>0</v>
      </c>
      <c r="AQ24" s="21">
        <f>$B24*'O&amp;M assumptions'!$O$30</f>
        <v>0</v>
      </c>
      <c r="AR24" s="21">
        <f>$B24*'O&amp;M assumptions'!$O$30</f>
        <v>0</v>
      </c>
      <c r="AS24" s="21">
        <f>IF($B24&gt;0, $B24*('O&amp;M assumptions'!$O$31+'O&amp;M assumptions'!$O$30),$B24*'O&amp;M assumptions'!$O$30)</f>
        <v>0</v>
      </c>
    </row>
    <row r="25" spans="1:53" x14ac:dyDescent="0.3">
      <c r="A25" s="2">
        <f t="shared" si="3"/>
        <v>2035</v>
      </c>
      <c r="B25" s="148">
        <f>'business decision calcs'!D26</f>
        <v>0</v>
      </c>
      <c r="C25" s="148"/>
      <c r="E25" s="187"/>
      <c r="F25" s="187"/>
      <c r="G25" s="187"/>
      <c r="H25" s="187"/>
      <c r="I25" s="187"/>
      <c r="J25" s="187"/>
      <c r="K25" s="187"/>
      <c r="L25" s="187"/>
      <c r="M25" s="187"/>
      <c r="N25" s="187"/>
      <c r="O25" s="187"/>
      <c r="P25" s="187"/>
      <c r="Q25" s="21">
        <f>$B25*'O&amp;M assumptions'!$O$28</f>
        <v>0</v>
      </c>
      <c r="R25" s="21">
        <f>$B25*'O&amp;M assumptions'!$O$29</f>
        <v>0</v>
      </c>
      <c r="S25" s="21">
        <f>$B25*'O&amp;M assumptions'!$O$30</f>
        <v>0</v>
      </c>
      <c r="T25" s="21">
        <f>$B25*'O&amp;M assumptions'!$O$30</f>
        <v>0</v>
      </c>
      <c r="U25" s="21">
        <f>$B25*'O&amp;M assumptions'!$O$30</f>
        <v>0</v>
      </c>
      <c r="V25" s="21">
        <f>$B25*'O&amp;M assumptions'!$O$30</f>
        <v>0</v>
      </c>
      <c r="W25" s="21">
        <f>$B25*'O&amp;M assumptions'!$O$30</f>
        <v>0</v>
      </c>
      <c r="X25" s="21">
        <f>$B25*'O&amp;M assumptions'!$O$30</f>
        <v>0</v>
      </c>
      <c r="Y25" s="21">
        <f>$B25*'O&amp;M assumptions'!$O$30</f>
        <v>0</v>
      </c>
      <c r="Z25" s="21">
        <f>IF($B25&gt;0, $B25*('O&amp;M assumptions'!$O$31+'O&amp;M assumptions'!$O$30),$B25*'O&amp;M assumptions'!$O$30)</f>
        <v>0</v>
      </c>
      <c r="AA25" s="21">
        <f>$B25*'O&amp;M assumptions'!$O$30</f>
        <v>0</v>
      </c>
      <c r="AB25" s="21">
        <f>$B25*'O&amp;M assumptions'!$O$30</f>
        <v>0</v>
      </c>
      <c r="AC25" s="21">
        <f>$B25*'O&amp;M assumptions'!$O$30</f>
        <v>0</v>
      </c>
      <c r="AD25" s="21">
        <f>$B25*'O&amp;M assumptions'!$O$30</f>
        <v>0</v>
      </c>
      <c r="AE25" s="21">
        <f>$B25*'O&amp;M assumptions'!$O$30</f>
        <v>0</v>
      </c>
      <c r="AF25" s="21">
        <f>$B25*'O&amp;M assumptions'!$O$30</f>
        <v>0</v>
      </c>
      <c r="AG25" s="21">
        <f>$B25*'O&amp;M assumptions'!$O$30</f>
        <v>0</v>
      </c>
      <c r="AH25" s="21">
        <f>$B25*'O&amp;M assumptions'!$O$30</f>
        <v>0</v>
      </c>
      <c r="AI25" s="21">
        <f>$B25*'O&amp;M assumptions'!$O$30</f>
        <v>0</v>
      </c>
      <c r="AJ25" s="21">
        <f>IF($B25&gt;0, $B25*('O&amp;M assumptions'!$O$31+'O&amp;M assumptions'!$O$30),$B25*'O&amp;M assumptions'!$O$30)</f>
        <v>0</v>
      </c>
      <c r="AK25" s="21">
        <f>$B25*'O&amp;M assumptions'!$O$30</f>
        <v>0</v>
      </c>
      <c r="AL25" s="21">
        <f>$B25*'O&amp;M assumptions'!$O$30</f>
        <v>0</v>
      </c>
      <c r="AM25" s="21">
        <f>$B25*'O&amp;M assumptions'!$O$30</f>
        <v>0</v>
      </c>
      <c r="AN25" s="21">
        <f>$B25*'O&amp;M assumptions'!$O$30</f>
        <v>0</v>
      </c>
      <c r="AO25" s="21">
        <f>$B25*'O&amp;M assumptions'!$O$30</f>
        <v>0</v>
      </c>
      <c r="AP25" s="21">
        <f>$B25*'O&amp;M assumptions'!$O$30</f>
        <v>0</v>
      </c>
      <c r="AQ25" s="21">
        <f>$B25*'O&amp;M assumptions'!$O$30</f>
        <v>0</v>
      </c>
      <c r="AR25" s="21">
        <f>$B25*'O&amp;M assumptions'!$O$30</f>
        <v>0</v>
      </c>
      <c r="AS25" s="21">
        <f>$B25*'O&amp;M assumptions'!$O$30</f>
        <v>0</v>
      </c>
      <c r="AT25" s="21">
        <f>IF($B25&gt;0, $B25*('O&amp;M assumptions'!$O$31+'O&amp;M assumptions'!$O$30),$B25*'O&amp;M assumptions'!$O$30)</f>
        <v>0</v>
      </c>
    </row>
    <row r="26" spans="1:53" x14ac:dyDescent="0.3">
      <c r="A26" s="2">
        <f t="shared" si="3"/>
        <v>2036</v>
      </c>
      <c r="B26" s="148">
        <f>'business decision calcs'!D27</f>
        <v>0</v>
      </c>
      <c r="C26" s="148"/>
      <c r="E26" s="187"/>
      <c r="F26" s="187"/>
      <c r="G26" s="187"/>
      <c r="H26" s="187"/>
      <c r="I26" s="187"/>
      <c r="J26" s="187"/>
      <c r="K26" s="187"/>
      <c r="L26" s="187"/>
      <c r="M26" s="187"/>
      <c r="N26" s="187"/>
      <c r="O26" s="187"/>
      <c r="P26" s="187"/>
      <c r="Q26" s="187"/>
      <c r="R26" s="21">
        <f>$B26*'O&amp;M assumptions'!$O$28</f>
        <v>0</v>
      </c>
      <c r="S26" s="21">
        <f>$B26*'O&amp;M assumptions'!$O$29</f>
        <v>0</v>
      </c>
      <c r="T26" s="21">
        <f>$B26*'O&amp;M assumptions'!$O$30</f>
        <v>0</v>
      </c>
      <c r="U26" s="21">
        <f>$B26*'O&amp;M assumptions'!$O$30</f>
        <v>0</v>
      </c>
      <c r="V26" s="21">
        <f>$B26*'O&amp;M assumptions'!$O$30</f>
        <v>0</v>
      </c>
      <c r="W26" s="21">
        <f>$B26*'O&amp;M assumptions'!$O$30</f>
        <v>0</v>
      </c>
      <c r="X26" s="21">
        <f>$B26*'O&amp;M assumptions'!$O$30</f>
        <v>0</v>
      </c>
      <c r="Y26" s="21">
        <f>$B26*'O&amp;M assumptions'!$O$30</f>
        <v>0</v>
      </c>
      <c r="Z26" s="21">
        <f>$B26*'O&amp;M assumptions'!$O$30</f>
        <v>0</v>
      </c>
      <c r="AA26" s="21">
        <f>IF($B26&gt;0, $B26*('O&amp;M assumptions'!$O$31+'O&amp;M assumptions'!$O$30),$B26*'O&amp;M assumptions'!$O$30)</f>
        <v>0</v>
      </c>
      <c r="AB26" s="21">
        <f>$B26*'O&amp;M assumptions'!$O$30</f>
        <v>0</v>
      </c>
      <c r="AC26" s="21">
        <f>$B26*'O&amp;M assumptions'!$O$30</f>
        <v>0</v>
      </c>
      <c r="AD26" s="21">
        <f>$B26*'O&amp;M assumptions'!$O$30</f>
        <v>0</v>
      </c>
      <c r="AE26" s="21">
        <f>$B26*'O&amp;M assumptions'!$O$30</f>
        <v>0</v>
      </c>
      <c r="AF26" s="21">
        <f>$B26*'O&amp;M assumptions'!$O$30</f>
        <v>0</v>
      </c>
      <c r="AG26" s="21">
        <f>$B26*'O&amp;M assumptions'!$O$30</f>
        <v>0</v>
      </c>
      <c r="AH26" s="21">
        <f>$B26*'O&amp;M assumptions'!$O$30</f>
        <v>0</v>
      </c>
      <c r="AI26" s="21">
        <f>$B26*'O&amp;M assumptions'!$O$30</f>
        <v>0</v>
      </c>
      <c r="AJ26" s="21">
        <f>$B26*'O&amp;M assumptions'!$O$30</f>
        <v>0</v>
      </c>
      <c r="AK26" s="21">
        <f>IF($B26&gt;0, $B26*('O&amp;M assumptions'!$O$31+'O&amp;M assumptions'!$O$30),$B26*'O&amp;M assumptions'!$O$30)</f>
        <v>0</v>
      </c>
      <c r="AL26" s="21">
        <f>$B26*'O&amp;M assumptions'!$O$30</f>
        <v>0</v>
      </c>
      <c r="AM26" s="21">
        <f>$B26*'O&amp;M assumptions'!$O$30</f>
        <v>0</v>
      </c>
      <c r="AN26" s="21">
        <f>$B26*'O&amp;M assumptions'!$O$30</f>
        <v>0</v>
      </c>
      <c r="AO26" s="21">
        <f>$B26*'O&amp;M assumptions'!$O$30</f>
        <v>0</v>
      </c>
      <c r="AP26" s="21">
        <f>$B26*'O&amp;M assumptions'!$O$30</f>
        <v>0</v>
      </c>
      <c r="AQ26" s="21">
        <f>$B26*'O&amp;M assumptions'!$O$30</f>
        <v>0</v>
      </c>
      <c r="AR26" s="21">
        <f>$B26*'O&amp;M assumptions'!$O$30</f>
        <v>0</v>
      </c>
      <c r="AS26" s="21">
        <f>$B26*'O&amp;M assumptions'!$O$30</f>
        <v>0</v>
      </c>
      <c r="AT26" s="21">
        <f>$B26*'O&amp;M assumptions'!$O$30</f>
        <v>0</v>
      </c>
      <c r="AU26" s="21">
        <f>IF($B26&gt;0, $B26*('O&amp;M assumptions'!$O$31+'O&amp;M assumptions'!$O$30),$B26*'O&amp;M assumptions'!$O$30)</f>
        <v>0</v>
      </c>
    </row>
    <row r="27" spans="1:53" x14ac:dyDescent="0.3">
      <c r="A27" s="2">
        <f t="shared" si="3"/>
        <v>2037</v>
      </c>
      <c r="B27" s="148">
        <f>'business decision calcs'!D28</f>
        <v>0</v>
      </c>
      <c r="C27" s="148"/>
      <c r="E27" s="187"/>
      <c r="F27" s="187"/>
      <c r="G27" s="187"/>
      <c r="H27" s="187"/>
      <c r="I27" s="187"/>
      <c r="J27" s="187"/>
      <c r="K27" s="187"/>
      <c r="L27" s="187"/>
      <c r="M27" s="187"/>
      <c r="N27" s="187"/>
      <c r="O27" s="187"/>
      <c r="P27" s="187"/>
      <c r="Q27" s="187"/>
      <c r="R27" s="187"/>
      <c r="S27" s="21">
        <f>$B27*'O&amp;M assumptions'!$O$28</f>
        <v>0</v>
      </c>
      <c r="T27" s="21">
        <f>$B27*'O&amp;M assumptions'!$O$29</f>
        <v>0</v>
      </c>
      <c r="U27" s="21">
        <f>$B27*'O&amp;M assumptions'!$O$30</f>
        <v>0</v>
      </c>
      <c r="V27" s="21">
        <f>$B27*'O&amp;M assumptions'!$O$30</f>
        <v>0</v>
      </c>
      <c r="W27" s="21">
        <f>$B27*'O&amp;M assumptions'!$O$30</f>
        <v>0</v>
      </c>
      <c r="X27" s="21">
        <f>$B27*'O&amp;M assumptions'!$O$30</f>
        <v>0</v>
      </c>
      <c r="Y27" s="21">
        <f>$B27*'O&amp;M assumptions'!$O$30</f>
        <v>0</v>
      </c>
      <c r="Z27" s="21">
        <f>$B27*'O&amp;M assumptions'!$O$30</f>
        <v>0</v>
      </c>
      <c r="AA27" s="21">
        <f>$B27*'O&amp;M assumptions'!$O$30</f>
        <v>0</v>
      </c>
      <c r="AB27" s="21">
        <f>IF($B27&gt;0, $B27*('O&amp;M assumptions'!$O$31+'O&amp;M assumptions'!$O$30),$B27*'O&amp;M assumptions'!$O$30)</f>
        <v>0</v>
      </c>
      <c r="AC27" s="21">
        <f>$B27*'O&amp;M assumptions'!$O$30</f>
        <v>0</v>
      </c>
      <c r="AD27" s="21">
        <f>$B27*'O&amp;M assumptions'!$O$30</f>
        <v>0</v>
      </c>
      <c r="AE27" s="21">
        <f>$B27*'O&amp;M assumptions'!$O$30</f>
        <v>0</v>
      </c>
      <c r="AF27" s="21">
        <f>$B27*'O&amp;M assumptions'!$O$30</f>
        <v>0</v>
      </c>
      <c r="AG27" s="21">
        <f>$B27*'O&amp;M assumptions'!$O$30</f>
        <v>0</v>
      </c>
      <c r="AH27" s="21">
        <f>$B27*'O&amp;M assumptions'!$O$30</f>
        <v>0</v>
      </c>
      <c r="AI27" s="21">
        <f>$B27*'O&amp;M assumptions'!$O$30</f>
        <v>0</v>
      </c>
      <c r="AJ27" s="21">
        <f>$B27*'O&amp;M assumptions'!$O$30</f>
        <v>0</v>
      </c>
      <c r="AK27" s="21">
        <f>$B27*'O&amp;M assumptions'!$O$30</f>
        <v>0</v>
      </c>
      <c r="AL27" s="21">
        <f>IF($B27&gt;0, $B27*('O&amp;M assumptions'!$O$31+'O&amp;M assumptions'!$O$30),$B27*'O&amp;M assumptions'!$O$30)</f>
        <v>0</v>
      </c>
      <c r="AM27" s="21">
        <f>$B27*'O&amp;M assumptions'!$O$30</f>
        <v>0</v>
      </c>
      <c r="AN27" s="21">
        <f>$B27*'O&amp;M assumptions'!$O$30</f>
        <v>0</v>
      </c>
      <c r="AO27" s="21">
        <f>$B27*'O&amp;M assumptions'!$O$30</f>
        <v>0</v>
      </c>
      <c r="AP27" s="21">
        <f>$B27*'O&amp;M assumptions'!$O$30</f>
        <v>0</v>
      </c>
      <c r="AQ27" s="21">
        <f>$B27*'O&amp;M assumptions'!$O$30</f>
        <v>0</v>
      </c>
      <c r="AR27" s="21">
        <f>$B27*'O&amp;M assumptions'!$O$30</f>
        <v>0</v>
      </c>
      <c r="AS27" s="21">
        <f>$B27*'O&amp;M assumptions'!$O$30</f>
        <v>0</v>
      </c>
      <c r="AT27" s="21">
        <f>$B27*'O&amp;M assumptions'!$O$30</f>
        <v>0</v>
      </c>
      <c r="AU27" s="21">
        <f>$B27*'O&amp;M assumptions'!$O$30</f>
        <v>0</v>
      </c>
      <c r="AV27" s="21">
        <f>IF($B27&gt;0, $B27*('O&amp;M assumptions'!$O$31+'O&amp;M assumptions'!$O$30),$B27*'O&amp;M assumptions'!$O$30)</f>
        <v>0</v>
      </c>
    </row>
    <row r="28" spans="1:53" x14ac:dyDescent="0.3">
      <c r="A28" s="2">
        <f t="shared" si="3"/>
        <v>2038</v>
      </c>
      <c r="B28" s="148">
        <f>'business decision calcs'!D29</f>
        <v>0</v>
      </c>
      <c r="C28" s="148"/>
      <c r="E28" s="187"/>
      <c r="F28" s="187"/>
      <c r="G28" s="187"/>
      <c r="H28" s="187"/>
      <c r="I28" s="187"/>
      <c r="J28" s="187"/>
      <c r="K28" s="187"/>
      <c r="L28" s="187"/>
      <c r="M28" s="187"/>
      <c r="N28" s="187"/>
      <c r="O28" s="187"/>
      <c r="P28" s="187"/>
      <c r="Q28" s="187"/>
      <c r="R28" s="187"/>
      <c r="S28" s="187"/>
      <c r="T28" s="21">
        <f>$B28*'O&amp;M assumptions'!$O$28</f>
        <v>0</v>
      </c>
      <c r="U28" s="21">
        <f>$B28*'O&amp;M assumptions'!$O$29</f>
        <v>0</v>
      </c>
      <c r="V28" s="21">
        <f>$B28*'O&amp;M assumptions'!$O$30</f>
        <v>0</v>
      </c>
      <c r="W28" s="21">
        <f>$B28*'O&amp;M assumptions'!$O$30</f>
        <v>0</v>
      </c>
      <c r="X28" s="21">
        <f>$B28*'O&amp;M assumptions'!$O$30</f>
        <v>0</v>
      </c>
      <c r="Y28" s="21">
        <f>$B28*'O&amp;M assumptions'!$O$30</f>
        <v>0</v>
      </c>
      <c r="Z28" s="21">
        <f>$B28*'O&amp;M assumptions'!$O$30</f>
        <v>0</v>
      </c>
      <c r="AA28" s="21">
        <f>$B28*'O&amp;M assumptions'!$O$30</f>
        <v>0</v>
      </c>
      <c r="AB28" s="21">
        <f>$B28*'O&amp;M assumptions'!$O$30</f>
        <v>0</v>
      </c>
      <c r="AC28" s="21">
        <f>IF($B28&gt;0, $B28*('O&amp;M assumptions'!$O$31+'O&amp;M assumptions'!$O$30),$B28*'O&amp;M assumptions'!$O$30)</f>
        <v>0</v>
      </c>
      <c r="AD28" s="21">
        <f>$B28*'O&amp;M assumptions'!$O$30</f>
        <v>0</v>
      </c>
      <c r="AE28" s="21">
        <f>$B28*'O&amp;M assumptions'!$O$30</f>
        <v>0</v>
      </c>
      <c r="AF28" s="21">
        <f>$B28*'O&amp;M assumptions'!$O$30</f>
        <v>0</v>
      </c>
      <c r="AG28" s="21">
        <f>$B28*'O&amp;M assumptions'!$O$30</f>
        <v>0</v>
      </c>
      <c r="AH28" s="21">
        <f>$B28*'O&amp;M assumptions'!$O$30</f>
        <v>0</v>
      </c>
      <c r="AI28" s="21">
        <f>$B28*'O&amp;M assumptions'!$O$30</f>
        <v>0</v>
      </c>
      <c r="AJ28" s="21">
        <f>$B28*'O&amp;M assumptions'!$O$30</f>
        <v>0</v>
      </c>
      <c r="AK28" s="21">
        <f>$B28*'O&amp;M assumptions'!$O$30</f>
        <v>0</v>
      </c>
      <c r="AL28" s="21">
        <f>$B28*'O&amp;M assumptions'!$O$30</f>
        <v>0</v>
      </c>
      <c r="AM28" s="21">
        <f>IF($B28&gt;0, $B28*('O&amp;M assumptions'!$O$31+'O&amp;M assumptions'!$O$30),$B28*'O&amp;M assumptions'!$O$30)</f>
        <v>0</v>
      </c>
      <c r="AN28" s="21">
        <f>$B28*'O&amp;M assumptions'!$O$30</f>
        <v>0</v>
      </c>
      <c r="AO28" s="21">
        <f>$B28*'O&amp;M assumptions'!$O$30</f>
        <v>0</v>
      </c>
      <c r="AP28" s="21">
        <f>$B28*'O&amp;M assumptions'!$O$30</f>
        <v>0</v>
      </c>
      <c r="AQ28" s="21">
        <f>$B28*'O&amp;M assumptions'!$O$30</f>
        <v>0</v>
      </c>
      <c r="AR28" s="21">
        <f>$B28*'O&amp;M assumptions'!$O$30</f>
        <v>0</v>
      </c>
      <c r="AS28" s="21">
        <f>$B28*'O&amp;M assumptions'!$O$30</f>
        <v>0</v>
      </c>
      <c r="AT28" s="21">
        <f>$B28*'O&amp;M assumptions'!$O$30</f>
        <v>0</v>
      </c>
      <c r="AU28" s="21">
        <f>$B28*'O&amp;M assumptions'!$O$30</f>
        <v>0</v>
      </c>
      <c r="AV28" s="21">
        <f>$B28*'O&amp;M assumptions'!$O$30</f>
        <v>0</v>
      </c>
      <c r="AW28" s="21">
        <f>IF($B28&gt;0, $B28*('O&amp;M assumptions'!$O$31+'O&amp;M assumptions'!$O$30),$B28*'O&amp;M assumptions'!$O$30)</f>
        <v>0</v>
      </c>
    </row>
    <row r="29" spans="1:53" x14ac:dyDescent="0.3">
      <c r="A29" s="2">
        <f t="shared" si="3"/>
        <v>2039</v>
      </c>
      <c r="B29" s="148">
        <f>'business decision calcs'!D30</f>
        <v>0</v>
      </c>
      <c r="C29" s="148"/>
      <c r="E29" s="187"/>
      <c r="F29" s="187"/>
      <c r="G29" s="187"/>
      <c r="H29" s="187"/>
      <c r="I29" s="187"/>
      <c r="J29" s="187"/>
      <c r="K29" s="187"/>
      <c r="L29" s="187"/>
      <c r="M29" s="187"/>
      <c r="N29" s="187"/>
      <c r="O29" s="187"/>
      <c r="P29" s="187"/>
      <c r="Q29" s="187"/>
      <c r="R29" s="187"/>
      <c r="S29" s="187"/>
      <c r="T29" s="187"/>
      <c r="U29" s="21">
        <f>$B29*'O&amp;M assumptions'!$O$28</f>
        <v>0</v>
      </c>
      <c r="V29" s="21">
        <f>$B29*'O&amp;M assumptions'!$O$29</f>
        <v>0</v>
      </c>
      <c r="W29" s="21">
        <f>$B29*'O&amp;M assumptions'!$O$30</f>
        <v>0</v>
      </c>
      <c r="X29" s="21">
        <f>$B29*'O&amp;M assumptions'!$O$30</f>
        <v>0</v>
      </c>
      <c r="Y29" s="21">
        <f>$B29*'O&amp;M assumptions'!$O$30</f>
        <v>0</v>
      </c>
      <c r="Z29" s="21">
        <f>$B29*'O&amp;M assumptions'!$O$30</f>
        <v>0</v>
      </c>
      <c r="AA29" s="21">
        <f>$B29*'O&amp;M assumptions'!$O$30</f>
        <v>0</v>
      </c>
      <c r="AB29" s="21">
        <f>$B29*'O&amp;M assumptions'!$O$30</f>
        <v>0</v>
      </c>
      <c r="AC29" s="21">
        <f>$B29*'O&amp;M assumptions'!$O$30</f>
        <v>0</v>
      </c>
      <c r="AD29" s="21">
        <f>IF($B29&gt;0, $B29*('O&amp;M assumptions'!$O$31+'O&amp;M assumptions'!$O$30),$B29*'O&amp;M assumptions'!$O$30)</f>
        <v>0</v>
      </c>
      <c r="AE29" s="21">
        <f>$B29*'O&amp;M assumptions'!$O$30</f>
        <v>0</v>
      </c>
      <c r="AF29" s="21">
        <f>$B29*'O&amp;M assumptions'!$O$30</f>
        <v>0</v>
      </c>
      <c r="AG29" s="21">
        <f>$B29*'O&amp;M assumptions'!$O$30</f>
        <v>0</v>
      </c>
      <c r="AH29" s="21">
        <f>$B29*'O&amp;M assumptions'!$O$30</f>
        <v>0</v>
      </c>
      <c r="AI29" s="21">
        <f>$B29*'O&amp;M assumptions'!$O$30</f>
        <v>0</v>
      </c>
      <c r="AJ29" s="21">
        <f>$B29*'O&amp;M assumptions'!$O$30</f>
        <v>0</v>
      </c>
      <c r="AK29" s="21">
        <f>$B29*'O&amp;M assumptions'!$O$30</f>
        <v>0</v>
      </c>
      <c r="AL29" s="21">
        <f>$B29*'O&amp;M assumptions'!$O$30</f>
        <v>0</v>
      </c>
      <c r="AM29" s="21">
        <f>$B29*'O&amp;M assumptions'!$O$30</f>
        <v>0</v>
      </c>
      <c r="AN29" s="21">
        <f>IF($B29&gt;0, $B29*('O&amp;M assumptions'!$O$31+'O&amp;M assumptions'!$O$30),$B29*'O&amp;M assumptions'!$O$30)</f>
        <v>0</v>
      </c>
      <c r="AO29" s="21">
        <f>$B29*'O&amp;M assumptions'!$O$30</f>
        <v>0</v>
      </c>
      <c r="AP29" s="21">
        <f>$B29*'O&amp;M assumptions'!$O$30</f>
        <v>0</v>
      </c>
      <c r="AQ29" s="21">
        <f>$B29*'O&amp;M assumptions'!$O$30</f>
        <v>0</v>
      </c>
      <c r="AR29" s="21">
        <f>$B29*'O&amp;M assumptions'!$O$30</f>
        <v>0</v>
      </c>
      <c r="AS29" s="21">
        <f>$B29*'O&amp;M assumptions'!$O$30</f>
        <v>0</v>
      </c>
      <c r="AT29" s="21">
        <f>$B29*'O&amp;M assumptions'!$O$30</f>
        <v>0</v>
      </c>
      <c r="AU29" s="21">
        <f>$B29*'O&amp;M assumptions'!$O$30</f>
        <v>0</v>
      </c>
      <c r="AV29" s="21">
        <f>$B29*'O&amp;M assumptions'!$O$30</f>
        <v>0</v>
      </c>
      <c r="AW29" s="21">
        <f>$B29*'O&amp;M assumptions'!$O$30</f>
        <v>0</v>
      </c>
      <c r="AX29" s="21">
        <f>IF($B29&gt;0, $B29*('O&amp;M assumptions'!$O$31+'O&amp;M assumptions'!$O$30),$B29*'O&amp;M assumptions'!$O$30)</f>
        <v>0</v>
      </c>
    </row>
    <row r="30" spans="1:53" x14ac:dyDescent="0.3">
      <c r="A30" s="2">
        <f t="shared" si="3"/>
        <v>2040</v>
      </c>
      <c r="B30" s="148">
        <f>'business decision calcs'!D31</f>
        <v>0</v>
      </c>
      <c r="C30" s="148"/>
      <c r="E30" s="187"/>
      <c r="F30" s="187"/>
      <c r="G30" s="187"/>
      <c r="H30" s="187"/>
      <c r="I30" s="187"/>
      <c r="J30" s="187"/>
      <c r="K30" s="187"/>
      <c r="L30" s="187"/>
      <c r="M30" s="187"/>
      <c r="N30" s="187"/>
      <c r="O30" s="187"/>
      <c r="P30" s="187"/>
      <c r="Q30" s="187"/>
      <c r="R30" s="187"/>
      <c r="S30" s="187"/>
      <c r="T30" s="187"/>
      <c r="U30" s="187"/>
      <c r="V30" s="21">
        <f>$B30*'O&amp;M assumptions'!$O$28</f>
        <v>0</v>
      </c>
      <c r="W30" s="21">
        <f>$B30*'O&amp;M assumptions'!$O$29</f>
        <v>0</v>
      </c>
      <c r="X30" s="21">
        <f>$B30*'O&amp;M assumptions'!$O$30</f>
        <v>0</v>
      </c>
      <c r="Y30" s="21">
        <f>$B30*'O&amp;M assumptions'!$O$30</f>
        <v>0</v>
      </c>
      <c r="Z30" s="21">
        <f>$B30*'O&amp;M assumptions'!$O$30</f>
        <v>0</v>
      </c>
      <c r="AA30" s="21">
        <f>$B30*'O&amp;M assumptions'!$O$30</f>
        <v>0</v>
      </c>
      <c r="AB30" s="21">
        <f>$B30*'O&amp;M assumptions'!$O$30</f>
        <v>0</v>
      </c>
      <c r="AC30" s="21">
        <f>$B30*'O&amp;M assumptions'!$O$30</f>
        <v>0</v>
      </c>
      <c r="AD30" s="21">
        <f>$B30*'O&amp;M assumptions'!$O$30</f>
        <v>0</v>
      </c>
      <c r="AE30" s="21">
        <f>IF($B30&gt;0, $B30*('O&amp;M assumptions'!$O$31+'O&amp;M assumptions'!$O$30),$B30*'O&amp;M assumptions'!$O$30)</f>
        <v>0</v>
      </c>
      <c r="AF30" s="21">
        <f>$B30*'O&amp;M assumptions'!$O$30</f>
        <v>0</v>
      </c>
      <c r="AG30" s="21">
        <f>$B30*'O&amp;M assumptions'!$O$30</f>
        <v>0</v>
      </c>
      <c r="AH30" s="21">
        <f>$B30*'O&amp;M assumptions'!$O$30</f>
        <v>0</v>
      </c>
      <c r="AI30" s="21">
        <f>$B30*'O&amp;M assumptions'!$O$30</f>
        <v>0</v>
      </c>
      <c r="AJ30" s="21">
        <f>$B30*'O&amp;M assumptions'!$O$30</f>
        <v>0</v>
      </c>
      <c r="AK30" s="21">
        <f>$B30*'O&amp;M assumptions'!$O$30</f>
        <v>0</v>
      </c>
      <c r="AL30" s="21">
        <f>$B30*'O&amp;M assumptions'!$O$30</f>
        <v>0</v>
      </c>
      <c r="AM30" s="21">
        <f>$B30*'O&amp;M assumptions'!$O$30</f>
        <v>0</v>
      </c>
      <c r="AN30" s="21">
        <f>$B30*'O&amp;M assumptions'!$O$30</f>
        <v>0</v>
      </c>
      <c r="AO30" s="21">
        <f>IF($B30&gt;0, $B30*('O&amp;M assumptions'!$O$31+'O&amp;M assumptions'!$O$30),$B30*'O&amp;M assumptions'!$O$30)</f>
        <v>0</v>
      </c>
      <c r="AP30" s="21">
        <f>$B30*'O&amp;M assumptions'!$O$30</f>
        <v>0</v>
      </c>
      <c r="AQ30" s="21">
        <f>$B30*'O&amp;M assumptions'!$O$30</f>
        <v>0</v>
      </c>
      <c r="AR30" s="21">
        <f>$B30*'O&amp;M assumptions'!$O$30</f>
        <v>0</v>
      </c>
      <c r="AS30" s="21">
        <f>$B30*'O&amp;M assumptions'!$O$30</f>
        <v>0</v>
      </c>
      <c r="AT30" s="21">
        <f>$B30*'O&amp;M assumptions'!$O$30</f>
        <v>0</v>
      </c>
      <c r="AU30" s="21">
        <f>$B30*'O&amp;M assumptions'!$O$30</f>
        <v>0</v>
      </c>
      <c r="AV30" s="21">
        <f>$B30*'O&amp;M assumptions'!$O$30</f>
        <v>0</v>
      </c>
      <c r="AW30" s="21">
        <f>$B30*'O&amp;M assumptions'!$O$30</f>
        <v>0</v>
      </c>
      <c r="AX30" s="21">
        <f>$B30*'O&amp;M assumptions'!$O$30</f>
        <v>0</v>
      </c>
      <c r="AY30" s="21">
        <f>IF($B30&gt;0, $B30*('O&amp;M assumptions'!$O$31+'O&amp;M assumptions'!$O$30),$B30*'O&amp;M assumptions'!$O$30)</f>
        <v>0</v>
      </c>
    </row>
    <row r="31" spans="1:53" x14ac:dyDescent="0.3">
      <c r="A31" s="2">
        <f t="shared" si="3"/>
        <v>2041</v>
      </c>
      <c r="B31" s="148">
        <f>'business decision calcs'!D32</f>
        <v>0</v>
      </c>
      <c r="C31" s="148"/>
      <c r="E31" s="187"/>
      <c r="F31" s="187"/>
      <c r="G31" s="187"/>
      <c r="H31" s="187"/>
      <c r="I31" s="187"/>
      <c r="J31" s="187"/>
      <c r="K31" s="187"/>
      <c r="L31" s="187"/>
      <c r="M31" s="187"/>
      <c r="N31" s="187"/>
      <c r="O31" s="187"/>
      <c r="P31" s="187"/>
      <c r="Q31" s="187"/>
      <c r="R31" s="187"/>
      <c r="S31" s="187"/>
      <c r="T31" s="187"/>
      <c r="U31" s="187"/>
      <c r="V31" s="187"/>
      <c r="W31" s="21">
        <f>$B31*'O&amp;M assumptions'!$O$28</f>
        <v>0</v>
      </c>
      <c r="X31" s="21">
        <f>$B31*'O&amp;M assumptions'!$O$29</f>
        <v>0</v>
      </c>
      <c r="Y31" s="21">
        <f>$B31*'O&amp;M assumptions'!$O$30</f>
        <v>0</v>
      </c>
      <c r="Z31" s="21">
        <f>$B31*'O&amp;M assumptions'!$O$30</f>
        <v>0</v>
      </c>
      <c r="AA31" s="21">
        <f>$B31*'O&amp;M assumptions'!$O$30</f>
        <v>0</v>
      </c>
      <c r="AB31" s="21">
        <f>$B31*'O&amp;M assumptions'!$O$30</f>
        <v>0</v>
      </c>
      <c r="AC31" s="21">
        <f>$B31*'O&amp;M assumptions'!$O$30</f>
        <v>0</v>
      </c>
      <c r="AD31" s="21">
        <f>$B31*'O&amp;M assumptions'!$O$30</f>
        <v>0</v>
      </c>
      <c r="AE31" s="21">
        <f>$B31*'O&amp;M assumptions'!$O$30</f>
        <v>0</v>
      </c>
      <c r="AF31" s="21">
        <f>IF($B31&gt;0, $B31*('O&amp;M assumptions'!$O$31+'O&amp;M assumptions'!$O$30),$B31*'O&amp;M assumptions'!$O$30)</f>
        <v>0</v>
      </c>
      <c r="AG31" s="21">
        <f>$B31*'O&amp;M assumptions'!$O$30</f>
        <v>0</v>
      </c>
      <c r="AH31" s="21">
        <f>$B31*'O&amp;M assumptions'!$O$30</f>
        <v>0</v>
      </c>
      <c r="AI31" s="21">
        <f>$B31*'O&amp;M assumptions'!$O$30</f>
        <v>0</v>
      </c>
      <c r="AJ31" s="21">
        <f>$B31*'O&amp;M assumptions'!$O$30</f>
        <v>0</v>
      </c>
      <c r="AK31" s="21">
        <f>$B31*'O&amp;M assumptions'!$O$30</f>
        <v>0</v>
      </c>
      <c r="AL31" s="21">
        <f>$B31*'O&amp;M assumptions'!$O$30</f>
        <v>0</v>
      </c>
      <c r="AM31" s="21">
        <f>$B31*'O&amp;M assumptions'!$O$30</f>
        <v>0</v>
      </c>
      <c r="AN31" s="21">
        <f>$B31*'O&amp;M assumptions'!$O$30</f>
        <v>0</v>
      </c>
      <c r="AO31" s="21">
        <f>$B31*'O&amp;M assumptions'!$O$30</f>
        <v>0</v>
      </c>
      <c r="AP31" s="21">
        <f>IF($B31&gt;0, $B31*('O&amp;M assumptions'!$O$31+'O&amp;M assumptions'!$O$30),$B31*'O&amp;M assumptions'!$O$30)</f>
        <v>0</v>
      </c>
      <c r="AQ31" s="21">
        <f>$B31*'O&amp;M assumptions'!$O$30</f>
        <v>0</v>
      </c>
      <c r="AR31" s="21">
        <f>$B31*'O&amp;M assumptions'!$O$30</f>
        <v>0</v>
      </c>
      <c r="AS31" s="21">
        <f>$B31*'O&amp;M assumptions'!$O$30</f>
        <v>0</v>
      </c>
      <c r="AT31" s="21">
        <f>$B31*'O&amp;M assumptions'!$O$30</f>
        <v>0</v>
      </c>
      <c r="AU31" s="21">
        <f>$B31*'O&amp;M assumptions'!$O$30</f>
        <v>0</v>
      </c>
      <c r="AV31" s="21">
        <f>$B31*'O&amp;M assumptions'!$O$30</f>
        <v>0</v>
      </c>
      <c r="AW31" s="21">
        <f>$B31*'O&amp;M assumptions'!$O$30</f>
        <v>0</v>
      </c>
      <c r="AX31" s="21">
        <f>$B31*'O&amp;M assumptions'!$O$30</f>
        <v>0</v>
      </c>
      <c r="AY31" s="21">
        <f>$B31*'O&amp;M assumptions'!$O$30</f>
        <v>0</v>
      </c>
      <c r="AZ31" s="21">
        <f>IF($B31&gt;0, $B31*('O&amp;M assumptions'!$O$31+'O&amp;M assumptions'!$O$30),$B31*'O&amp;M assumptions'!$O$30)</f>
        <v>0</v>
      </c>
    </row>
    <row r="32" spans="1:53" x14ac:dyDescent="0.3">
      <c r="A32" s="2">
        <f t="shared" si="3"/>
        <v>2042</v>
      </c>
      <c r="B32" s="148">
        <f>'business decision calcs'!D33</f>
        <v>0</v>
      </c>
      <c r="C32" s="148"/>
      <c r="E32" s="187"/>
      <c r="F32" s="187"/>
      <c r="G32" s="187"/>
      <c r="H32" s="187"/>
      <c r="I32" s="187"/>
      <c r="J32" s="187"/>
      <c r="K32" s="187"/>
      <c r="L32" s="187"/>
      <c r="M32" s="187"/>
      <c r="N32" s="187"/>
      <c r="O32" s="187"/>
      <c r="P32" s="187"/>
      <c r="Q32" s="187"/>
      <c r="R32" s="187"/>
      <c r="S32" s="187"/>
      <c r="T32" s="187"/>
      <c r="U32" s="187"/>
      <c r="V32" s="187"/>
      <c r="W32" s="187"/>
      <c r="X32" s="21">
        <f>$B32*'O&amp;M assumptions'!$O$28</f>
        <v>0</v>
      </c>
      <c r="Y32" s="21">
        <f>$B32*'O&amp;M assumptions'!$O$29</f>
        <v>0</v>
      </c>
      <c r="Z32" s="21">
        <f>$B32*'O&amp;M assumptions'!$O$30</f>
        <v>0</v>
      </c>
      <c r="AA32" s="21">
        <f>$B32*'O&amp;M assumptions'!$O$30</f>
        <v>0</v>
      </c>
      <c r="AB32" s="21">
        <f>$B32*'O&amp;M assumptions'!$O$30</f>
        <v>0</v>
      </c>
      <c r="AC32" s="21">
        <f>$B32*'O&amp;M assumptions'!$O$30</f>
        <v>0</v>
      </c>
      <c r="AD32" s="21">
        <f>$B32*'O&amp;M assumptions'!$O$30</f>
        <v>0</v>
      </c>
      <c r="AE32" s="21">
        <f>$B32*'O&amp;M assumptions'!$O$30</f>
        <v>0</v>
      </c>
      <c r="AF32" s="21">
        <f>$B32*'O&amp;M assumptions'!$O$30</f>
        <v>0</v>
      </c>
      <c r="AG32" s="21">
        <f>IF($B32&gt;0, $B32*('O&amp;M assumptions'!$O$31+'O&amp;M assumptions'!$O$30),$B32*'O&amp;M assumptions'!$O$30)</f>
        <v>0</v>
      </c>
      <c r="AH32" s="21">
        <f>$B32*'O&amp;M assumptions'!$O$30</f>
        <v>0</v>
      </c>
      <c r="AI32" s="21">
        <f>$B32*'O&amp;M assumptions'!$O$30</f>
        <v>0</v>
      </c>
      <c r="AJ32" s="21">
        <f>$B32*'O&amp;M assumptions'!$O$30</f>
        <v>0</v>
      </c>
      <c r="AK32" s="21">
        <f>$B32*'O&amp;M assumptions'!$O$30</f>
        <v>0</v>
      </c>
      <c r="AL32" s="21">
        <f>$B32*'O&amp;M assumptions'!$O$30</f>
        <v>0</v>
      </c>
      <c r="AM32" s="21">
        <f>$B32*'O&amp;M assumptions'!$O$30</f>
        <v>0</v>
      </c>
      <c r="AN32" s="21">
        <f>$B32*'O&amp;M assumptions'!$O$30</f>
        <v>0</v>
      </c>
      <c r="AO32" s="21">
        <f>$B32*'O&amp;M assumptions'!$O$30</f>
        <v>0</v>
      </c>
      <c r="AP32" s="21">
        <f>$B32*'O&amp;M assumptions'!$O$30</f>
        <v>0</v>
      </c>
      <c r="AQ32" s="21">
        <f>IF($B32&gt;0, $B32*('O&amp;M assumptions'!$O$31+'O&amp;M assumptions'!$O$30),$B32*'O&amp;M assumptions'!$O$30)</f>
        <v>0</v>
      </c>
      <c r="AR32" s="21">
        <f>$B32*'O&amp;M assumptions'!$O$30</f>
        <v>0</v>
      </c>
      <c r="AS32" s="21">
        <f>$B32*'O&amp;M assumptions'!$O$30</f>
        <v>0</v>
      </c>
      <c r="AT32" s="21">
        <f>$B32*'O&amp;M assumptions'!$O$30</f>
        <v>0</v>
      </c>
      <c r="AU32" s="21">
        <f>$B32*'O&amp;M assumptions'!$O$30</f>
        <v>0</v>
      </c>
      <c r="AV32" s="21">
        <f>$B32*'O&amp;M assumptions'!$O$30</f>
        <v>0</v>
      </c>
      <c r="AW32" s="21">
        <f>$B32*'O&amp;M assumptions'!$O$30</f>
        <v>0</v>
      </c>
      <c r="AX32" s="21">
        <f>$B32*'O&amp;M assumptions'!$O$30</f>
        <v>0</v>
      </c>
      <c r="AY32" s="21">
        <f>$B32*'O&amp;M assumptions'!$O$30</f>
        <v>0</v>
      </c>
      <c r="AZ32" s="21">
        <f>$B32*'O&amp;M assumptions'!$O$30</f>
        <v>0</v>
      </c>
      <c r="BA32" s="21">
        <f>IF($B32&gt;0, $B32*('O&amp;M assumptions'!$O$31+'O&amp;M assumptions'!$O$30),$B32*'O&amp;M assumptions'!$O$30)</f>
        <v>0</v>
      </c>
    </row>
    <row r="33" spans="1:63" x14ac:dyDescent="0.3">
      <c r="A33" s="2">
        <f t="shared" si="3"/>
        <v>2043</v>
      </c>
      <c r="B33" s="148">
        <f>'business decision calcs'!D34</f>
        <v>0</v>
      </c>
      <c r="C33" s="148"/>
      <c r="E33" s="187"/>
      <c r="F33" s="187"/>
      <c r="G33" s="187"/>
      <c r="H33" s="187"/>
      <c r="I33" s="187"/>
      <c r="J33" s="187"/>
      <c r="K33" s="187"/>
      <c r="L33" s="187"/>
      <c r="M33" s="187"/>
      <c r="N33" s="187"/>
      <c r="O33" s="187"/>
      <c r="P33" s="187"/>
      <c r="Q33" s="187"/>
      <c r="R33" s="187"/>
      <c r="S33" s="187"/>
      <c r="T33" s="187"/>
      <c r="U33" s="187"/>
      <c r="V33" s="187"/>
      <c r="W33" s="187"/>
      <c r="X33" s="187"/>
      <c r="Y33" s="21">
        <f>$B33*'O&amp;M assumptions'!$O$28</f>
        <v>0</v>
      </c>
      <c r="Z33" s="21">
        <f>$B33*'O&amp;M assumptions'!$O$29</f>
        <v>0</v>
      </c>
      <c r="AA33" s="21">
        <f>$B33*'O&amp;M assumptions'!$O$30</f>
        <v>0</v>
      </c>
      <c r="AB33" s="21">
        <f>$B33*'O&amp;M assumptions'!$O$30</f>
        <v>0</v>
      </c>
      <c r="AC33" s="21">
        <f>$B33*'O&amp;M assumptions'!$O$30</f>
        <v>0</v>
      </c>
      <c r="AD33" s="21">
        <f>$B33*'O&amp;M assumptions'!$O$30</f>
        <v>0</v>
      </c>
      <c r="AE33" s="21">
        <f>$B33*'O&amp;M assumptions'!$O$30</f>
        <v>0</v>
      </c>
      <c r="AF33" s="21">
        <f>$B33*'O&amp;M assumptions'!$O$30</f>
        <v>0</v>
      </c>
      <c r="AG33" s="21">
        <f>$B33*'O&amp;M assumptions'!$O$30</f>
        <v>0</v>
      </c>
      <c r="AH33" s="21">
        <f>IF($B33&gt;0, $B33*('O&amp;M assumptions'!$O$31+'O&amp;M assumptions'!$O$30),$B33*'O&amp;M assumptions'!$O$30)</f>
        <v>0</v>
      </c>
      <c r="AI33" s="21">
        <f>$B33*'O&amp;M assumptions'!$O$30</f>
        <v>0</v>
      </c>
      <c r="AJ33" s="21">
        <f>$B33*'O&amp;M assumptions'!$O$30</f>
        <v>0</v>
      </c>
      <c r="AK33" s="21">
        <f>$B33*'O&amp;M assumptions'!$O$30</f>
        <v>0</v>
      </c>
      <c r="AL33" s="21">
        <f>$B33*'O&amp;M assumptions'!$O$30</f>
        <v>0</v>
      </c>
      <c r="AM33" s="21">
        <f>$B33*'O&amp;M assumptions'!$O$30</f>
        <v>0</v>
      </c>
      <c r="AN33" s="21">
        <f>$B33*'O&amp;M assumptions'!$O$30</f>
        <v>0</v>
      </c>
      <c r="AO33" s="21">
        <f>$B33*'O&amp;M assumptions'!$O$30</f>
        <v>0</v>
      </c>
      <c r="AP33" s="21">
        <f>$B33*'O&amp;M assumptions'!$O$30</f>
        <v>0</v>
      </c>
      <c r="AQ33" s="21">
        <f>$B33*'O&amp;M assumptions'!$O$30</f>
        <v>0</v>
      </c>
      <c r="AR33" s="21">
        <f>IF($B33&gt;0, $B33*('O&amp;M assumptions'!$O$31+'O&amp;M assumptions'!$O$30),$B33*'O&amp;M assumptions'!$O$30)</f>
        <v>0</v>
      </c>
      <c r="AS33" s="21">
        <f>$B33*'O&amp;M assumptions'!$O$30</f>
        <v>0</v>
      </c>
      <c r="AT33" s="21">
        <f>$B33*'O&amp;M assumptions'!$O$30</f>
        <v>0</v>
      </c>
      <c r="AU33" s="21">
        <f>$B33*'O&amp;M assumptions'!$O$30</f>
        <v>0</v>
      </c>
      <c r="AV33" s="21">
        <f>$B33*'O&amp;M assumptions'!$O$30</f>
        <v>0</v>
      </c>
      <c r="AW33" s="21">
        <f>$B33*'O&amp;M assumptions'!$O$30</f>
        <v>0</v>
      </c>
      <c r="AX33" s="21">
        <f>$B33*'O&amp;M assumptions'!$O$30</f>
        <v>0</v>
      </c>
      <c r="AY33" s="21">
        <f>$B33*'O&amp;M assumptions'!$O$30</f>
        <v>0</v>
      </c>
      <c r="AZ33" s="21">
        <f>$B33*'O&amp;M assumptions'!$O$30</f>
        <v>0</v>
      </c>
      <c r="BA33" s="21">
        <f>$B33*'O&amp;M assumptions'!$O$30</f>
        <v>0</v>
      </c>
      <c r="BB33" s="21">
        <f>IF($B33&gt;0, $B33*('O&amp;M assumptions'!$O$31+'O&amp;M assumptions'!$O$30),$B33*'O&amp;M assumptions'!$O$30)</f>
        <v>0</v>
      </c>
      <c r="BK33" s="148"/>
    </row>
    <row r="34" spans="1:63" x14ac:dyDescent="0.3">
      <c r="A34" s="2">
        <f t="shared" si="3"/>
        <v>2044</v>
      </c>
      <c r="B34" s="148">
        <f>'business decision calcs'!D35</f>
        <v>0</v>
      </c>
      <c r="C34" s="148"/>
      <c r="E34" s="187"/>
      <c r="F34" s="187"/>
      <c r="G34" s="187"/>
      <c r="H34" s="187"/>
      <c r="I34" s="187"/>
      <c r="J34" s="187"/>
      <c r="K34" s="187"/>
      <c r="L34" s="187"/>
      <c r="M34" s="187"/>
      <c r="N34" s="187"/>
      <c r="O34" s="187"/>
      <c r="P34" s="187"/>
      <c r="Q34" s="187"/>
      <c r="R34" s="187"/>
      <c r="S34" s="187"/>
      <c r="T34" s="187"/>
      <c r="U34" s="187"/>
      <c r="V34" s="187"/>
      <c r="W34" s="187"/>
      <c r="X34" s="187"/>
      <c r="Y34" s="187"/>
      <c r="Z34" s="21">
        <f>$B34*'O&amp;M assumptions'!$O$28</f>
        <v>0</v>
      </c>
      <c r="AA34" s="21">
        <f>$B34*'O&amp;M assumptions'!$O$29</f>
        <v>0</v>
      </c>
      <c r="AB34" s="21">
        <f>$B34*'O&amp;M assumptions'!$O$30</f>
        <v>0</v>
      </c>
      <c r="AC34" s="21">
        <f>$B34*'O&amp;M assumptions'!$O$30</f>
        <v>0</v>
      </c>
      <c r="AD34" s="21">
        <f>$B34*'O&amp;M assumptions'!$O$30</f>
        <v>0</v>
      </c>
      <c r="AE34" s="21">
        <f>$B34*'O&amp;M assumptions'!$O$30</f>
        <v>0</v>
      </c>
      <c r="AF34" s="21">
        <f>$B34*'O&amp;M assumptions'!$O$30</f>
        <v>0</v>
      </c>
      <c r="AG34" s="21">
        <f>$B34*'O&amp;M assumptions'!$O$30</f>
        <v>0</v>
      </c>
      <c r="AH34" s="21">
        <f>$B34*'O&amp;M assumptions'!$O$30</f>
        <v>0</v>
      </c>
      <c r="AI34" s="21">
        <f>IF($B34&gt;0, $B34*('O&amp;M assumptions'!$O$31+'O&amp;M assumptions'!$O$30),$B34*'O&amp;M assumptions'!$O$30)</f>
        <v>0</v>
      </c>
      <c r="AJ34" s="21">
        <f>$B34*'O&amp;M assumptions'!$O$30</f>
        <v>0</v>
      </c>
      <c r="AK34" s="21">
        <f>$B34*'O&amp;M assumptions'!$O$30</f>
        <v>0</v>
      </c>
      <c r="AL34" s="21">
        <f>$B34*'O&amp;M assumptions'!$O$30</f>
        <v>0</v>
      </c>
      <c r="AM34" s="21">
        <f>$B34*'O&amp;M assumptions'!$O$30</f>
        <v>0</v>
      </c>
      <c r="AN34" s="21">
        <f>$B34*'O&amp;M assumptions'!$O$30</f>
        <v>0</v>
      </c>
      <c r="AO34" s="21">
        <f>$B34*'O&amp;M assumptions'!$O$30</f>
        <v>0</v>
      </c>
      <c r="AP34" s="21">
        <f>$B34*'O&amp;M assumptions'!$O$30</f>
        <v>0</v>
      </c>
      <c r="AQ34" s="21">
        <f>$B34*'O&amp;M assumptions'!$O$30</f>
        <v>0</v>
      </c>
      <c r="AR34" s="21">
        <f>$B34*'O&amp;M assumptions'!$O$30</f>
        <v>0</v>
      </c>
      <c r="AS34" s="21">
        <f>IF($B34&gt;0, $B34*('O&amp;M assumptions'!$O$31+'O&amp;M assumptions'!$O$30),$B34*'O&amp;M assumptions'!$O$30)</f>
        <v>0</v>
      </c>
      <c r="AT34" s="21">
        <f>$B34*'O&amp;M assumptions'!$O$30</f>
        <v>0</v>
      </c>
      <c r="AU34" s="21">
        <f>$B34*'O&amp;M assumptions'!$O$30</f>
        <v>0</v>
      </c>
      <c r="AV34" s="21">
        <f>$B34*'O&amp;M assumptions'!$O$30</f>
        <v>0</v>
      </c>
      <c r="AW34" s="21">
        <f>$B34*'O&amp;M assumptions'!$O$30</f>
        <v>0</v>
      </c>
      <c r="AX34" s="21">
        <f>$B34*'O&amp;M assumptions'!$O$30</f>
        <v>0</v>
      </c>
      <c r="AY34" s="21">
        <f>$B34*'O&amp;M assumptions'!$O$30</f>
        <v>0</v>
      </c>
      <c r="AZ34" s="21">
        <f>$B34*'O&amp;M assumptions'!$O$30</f>
        <v>0</v>
      </c>
      <c r="BA34" s="21">
        <f>$B34*'O&amp;M assumptions'!$O$30</f>
        <v>0</v>
      </c>
      <c r="BB34" s="21">
        <f>$B34*'O&amp;M assumptions'!$O$30</f>
        <v>0</v>
      </c>
      <c r="BC34" s="21">
        <f>IF($B34&gt;0, $B34*('O&amp;M assumptions'!$O$31+'O&amp;M assumptions'!$O$30),$B34*'O&amp;M assumptions'!$O$30)</f>
        <v>0</v>
      </c>
    </row>
    <row r="35" spans="1:63" x14ac:dyDescent="0.3">
      <c r="A35" s="2">
        <f t="shared" si="3"/>
        <v>2045</v>
      </c>
      <c r="B35" s="148">
        <f>'business decision calcs'!D36</f>
        <v>0</v>
      </c>
      <c r="C35" s="148"/>
      <c r="E35" s="187"/>
      <c r="F35" s="187"/>
      <c r="G35" s="187"/>
      <c r="H35" s="187"/>
      <c r="I35" s="187"/>
      <c r="J35" s="187"/>
      <c r="K35" s="187"/>
      <c r="L35" s="187"/>
      <c r="M35" s="187"/>
      <c r="N35" s="187"/>
      <c r="O35" s="187"/>
      <c r="P35" s="187"/>
      <c r="Q35" s="187"/>
      <c r="R35" s="187"/>
      <c r="S35" s="187"/>
      <c r="T35" s="187"/>
      <c r="U35" s="187"/>
      <c r="V35" s="187"/>
      <c r="W35" s="187"/>
      <c r="X35" s="187"/>
      <c r="Y35" s="187"/>
      <c r="Z35" s="187"/>
      <c r="AA35" s="21">
        <f>$B35*'O&amp;M assumptions'!$O$28</f>
        <v>0</v>
      </c>
      <c r="AB35" s="21">
        <f>$B35*'O&amp;M assumptions'!$O$29</f>
        <v>0</v>
      </c>
      <c r="AC35" s="21">
        <f>$B35*'O&amp;M assumptions'!$O$30</f>
        <v>0</v>
      </c>
      <c r="AD35" s="21">
        <f>$B35*'O&amp;M assumptions'!$O$30</f>
        <v>0</v>
      </c>
      <c r="AE35" s="21">
        <f>$B35*'O&amp;M assumptions'!$O$30</f>
        <v>0</v>
      </c>
      <c r="AF35" s="21">
        <f>$B35*'O&amp;M assumptions'!$O$30</f>
        <v>0</v>
      </c>
      <c r="AG35" s="21">
        <f>$B35*'O&amp;M assumptions'!$O$30</f>
        <v>0</v>
      </c>
      <c r="AH35" s="21">
        <f>$B35*'O&amp;M assumptions'!$O$30</f>
        <v>0</v>
      </c>
      <c r="AI35" s="21">
        <f>$B35*'O&amp;M assumptions'!$O$30</f>
        <v>0</v>
      </c>
      <c r="AJ35" s="21">
        <f>IF($B35&gt;0, $B35*('O&amp;M assumptions'!$O$31+'O&amp;M assumptions'!$O$30),$B35*'O&amp;M assumptions'!$O$30)</f>
        <v>0</v>
      </c>
      <c r="AK35" s="21">
        <f>$B35*'O&amp;M assumptions'!$O$30</f>
        <v>0</v>
      </c>
      <c r="AL35" s="21">
        <f>$B35*'O&amp;M assumptions'!$O$30</f>
        <v>0</v>
      </c>
      <c r="AM35" s="21">
        <f>$B35*'O&amp;M assumptions'!$O$30</f>
        <v>0</v>
      </c>
      <c r="AN35" s="21">
        <f>$B35*'O&amp;M assumptions'!$O$30</f>
        <v>0</v>
      </c>
      <c r="AO35" s="21">
        <f>$B35*'O&amp;M assumptions'!$O$30</f>
        <v>0</v>
      </c>
      <c r="AP35" s="21">
        <f>$B35*'O&amp;M assumptions'!$O$30</f>
        <v>0</v>
      </c>
      <c r="AQ35" s="21">
        <f>$B35*'O&amp;M assumptions'!$O$30</f>
        <v>0</v>
      </c>
      <c r="AR35" s="21">
        <f>$B35*'O&amp;M assumptions'!$O$30</f>
        <v>0</v>
      </c>
      <c r="AS35" s="21">
        <f>$B35*'O&amp;M assumptions'!$O$30</f>
        <v>0</v>
      </c>
      <c r="AT35" s="21">
        <f>IF($B35&gt;0, $B35*('O&amp;M assumptions'!$O$31+'O&amp;M assumptions'!$O$30),$B35*'O&amp;M assumptions'!$O$30)</f>
        <v>0</v>
      </c>
      <c r="AU35" s="21">
        <f>$B35*'O&amp;M assumptions'!$O$30</f>
        <v>0</v>
      </c>
      <c r="AV35" s="21">
        <f>$B35*'O&amp;M assumptions'!$O$30</f>
        <v>0</v>
      </c>
      <c r="AW35" s="21">
        <f>$B35*'O&amp;M assumptions'!$O$30</f>
        <v>0</v>
      </c>
      <c r="AX35" s="21">
        <f>$B35*'O&amp;M assumptions'!$O$30</f>
        <v>0</v>
      </c>
      <c r="AY35" s="21">
        <f>$B35*'O&amp;M assumptions'!$O$30</f>
        <v>0</v>
      </c>
      <c r="AZ35" s="21">
        <f>$B35*'O&amp;M assumptions'!$O$30</f>
        <v>0</v>
      </c>
      <c r="BA35" s="21">
        <f>$B35*'O&amp;M assumptions'!$O$30</f>
        <v>0</v>
      </c>
      <c r="BB35" s="21">
        <f>$B35*'O&amp;M assumptions'!$O$30</f>
        <v>0</v>
      </c>
      <c r="BC35" s="21">
        <f>$B35*'O&amp;M assumptions'!$O$30</f>
        <v>0</v>
      </c>
      <c r="BD35" s="21">
        <f>IF($B35&gt;0, $B35*('O&amp;M assumptions'!$O$31+'O&amp;M assumptions'!$O$30),$B35*'O&amp;M assumptions'!$O$30)</f>
        <v>0</v>
      </c>
    </row>
    <row r="36" spans="1:63" x14ac:dyDescent="0.3">
      <c r="A36" s="2">
        <f t="shared" si="3"/>
        <v>2046</v>
      </c>
      <c r="B36" s="148">
        <f>'business decision calcs'!D37</f>
        <v>0</v>
      </c>
      <c r="C36" s="148"/>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21">
        <f>$B36*'O&amp;M assumptions'!$O$28</f>
        <v>0</v>
      </c>
      <c r="AC36" s="21">
        <f>$B36*'O&amp;M assumptions'!$O$29</f>
        <v>0</v>
      </c>
      <c r="AD36" s="21">
        <f>$B36*'O&amp;M assumptions'!$O$30</f>
        <v>0</v>
      </c>
      <c r="AE36" s="21">
        <f>$B36*'O&amp;M assumptions'!$O$30</f>
        <v>0</v>
      </c>
      <c r="AF36" s="21">
        <f>$B36*'O&amp;M assumptions'!$O$30</f>
        <v>0</v>
      </c>
      <c r="AG36" s="21">
        <f>$B36*'O&amp;M assumptions'!$O$30</f>
        <v>0</v>
      </c>
      <c r="AH36" s="21">
        <f>$B36*'O&amp;M assumptions'!$O$30</f>
        <v>0</v>
      </c>
      <c r="AI36" s="21">
        <f>$B36*'O&amp;M assumptions'!$O$30</f>
        <v>0</v>
      </c>
      <c r="AJ36" s="21">
        <f>$B36*'O&amp;M assumptions'!$O$30</f>
        <v>0</v>
      </c>
      <c r="AK36" s="21">
        <f>IF($B36&gt;0, $B36*('O&amp;M assumptions'!$O$31+'O&amp;M assumptions'!$O$30),$B36*'O&amp;M assumptions'!$O$30)</f>
        <v>0</v>
      </c>
      <c r="AL36" s="21">
        <f>$B36*'O&amp;M assumptions'!$O$30</f>
        <v>0</v>
      </c>
      <c r="AM36" s="21">
        <f>$B36*'O&amp;M assumptions'!$O$30</f>
        <v>0</v>
      </c>
      <c r="AN36" s="21">
        <f>$B36*'O&amp;M assumptions'!$O$30</f>
        <v>0</v>
      </c>
      <c r="AO36" s="21">
        <f>$B36*'O&amp;M assumptions'!$O$30</f>
        <v>0</v>
      </c>
      <c r="AP36" s="21">
        <f>$B36*'O&amp;M assumptions'!$O$30</f>
        <v>0</v>
      </c>
      <c r="AQ36" s="21">
        <f>$B36*'O&amp;M assumptions'!$O$30</f>
        <v>0</v>
      </c>
      <c r="AR36" s="21">
        <f>$B36*'O&amp;M assumptions'!$O$30</f>
        <v>0</v>
      </c>
      <c r="AS36" s="21">
        <f>$B36*'O&amp;M assumptions'!$O$30</f>
        <v>0</v>
      </c>
      <c r="AT36" s="21">
        <f>$B36*'O&amp;M assumptions'!$O$30</f>
        <v>0</v>
      </c>
      <c r="AU36" s="21">
        <f>IF($B36&gt;0, $B36*('O&amp;M assumptions'!$O$31+'O&amp;M assumptions'!$O$30),$B36*'O&amp;M assumptions'!$O$30)</f>
        <v>0</v>
      </c>
      <c r="AV36" s="21">
        <f>$B36*'O&amp;M assumptions'!$O$30</f>
        <v>0</v>
      </c>
      <c r="AW36" s="21">
        <f>$B36*'O&amp;M assumptions'!$O$30</f>
        <v>0</v>
      </c>
      <c r="AX36" s="21">
        <f>$B36*'O&amp;M assumptions'!$O$30</f>
        <v>0</v>
      </c>
      <c r="AY36" s="21">
        <f>$B36*'O&amp;M assumptions'!$O$30</f>
        <v>0</v>
      </c>
      <c r="AZ36" s="21">
        <f>$B36*'O&amp;M assumptions'!$O$30</f>
        <v>0</v>
      </c>
      <c r="BA36" s="21">
        <f>$B36*'O&amp;M assumptions'!$O$30</f>
        <v>0</v>
      </c>
      <c r="BB36" s="21">
        <f>$B36*'O&amp;M assumptions'!$O$30</f>
        <v>0</v>
      </c>
      <c r="BC36" s="21">
        <f>$B36*'O&amp;M assumptions'!$O$30</f>
        <v>0</v>
      </c>
      <c r="BD36" s="21">
        <f>$B36*'O&amp;M assumptions'!$O$30</f>
        <v>0</v>
      </c>
      <c r="BE36" s="21">
        <f>IF($B36&gt;0, $B36*('O&amp;M assumptions'!$O$31+'O&amp;M assumptions'!$O$30),$B36*'O&amp;M assumptions'!$O$30)</f>
        <v>0</v>
      </c>
    </row>
    <row r="37" spans="1:63" x14ac:dyDescent="0.3">
      <c r="A37" s="2">
        <f t="shared" si="3"/>
        <v>2047</v>
      </c>
      <c r="B37" s="148">
        <f>'business decision calcs'!D38</f>
        <v>0</v>
      </c>
      <c r="C37" s="148"/>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21">
        <f>$B37*'O&amp;M assumptions'!$O$28</f>
        <v>0</v>
      </c>
      <c r="AD37" s="21">
        <f>$B37*'O&amp;M assumptions'!$O$29</f>
        <v>0</v>
      </c>
      <c r="AE37" s="21">
        <f>$B37*'O&amp;M assumptions'!$O$30</f>
        <v>0</v>
      </c>
      <c r="AF37" s="21">
        <f>$B37*'O&amp;M assumptions'!$O$30</f>
        <v>0</v>
      </c>
      <c r="AG37" s="21">
        <f>$B37*'O&amp;M assumptions'!$O$30</f>
        <v>0</v>
      </c>
      <c r="AH37" s="21">
        <f>$B37*'O&amp;M assumptions'!$O$30</f>
        <v>0</v>
      </c>
      <c r="AI37" s="21">
        <f>$B37*'O&amp;M assumptions'!$O$30</f>
        <v>0</v>
      </c>
      <c r="AJ37" s="21">
        <f>$B37*'O&amp;M assumptions'!$O$30</f>
        <v>0</v>
      </c>
      <c r="AK37" s="21">
        <f>$B37*'O&amp;M assumptions'!$O$30</f>
        <v>0</v>
      </c>
      <c r="AL37" s="21">
        <f>IF($B37&gt;0, $B37*('O&amp;M assumptions'!$O$31+'O&amp;M assumptions'!$O$30),$B37*'O&amp;M assumptions'!$O$30)</f>
        <v>0</v>
      </c>
      <c r="AM37" s="21">
        <f>$B37*'O&amp;M assumptions'!$O$30</f>
        <v>0</v>
      </c>
      <c r="AN37" s="21">
        <f>$B37*'O&amp;M assumptions'!$O$30</f>
        <v>0</v>
      </c>
      <c r="AO37" s="21">
        <f>$B37*'O&amp;M assumptions'!$O$30</f>
        <v>0</v>
      </c>
      <c r="AP37" s="21">
        <f>$B37*'O&amp;M assumptions'!$O$30</f>
        <v>0</v>
      </c>
      <c r="AQ37" s="21">
        <f>$B37*'O&amp;M assumptions'!$O$30</f>
        <v>0</v>
      </c>
      <c r="AR37" s="21">
        <f>$B37*'O&amp;M assumptions'!$O$30</f>
        <v>0</v>
      </c>
      <c r="AS37" s="21">
        <f>$B37*'O&amp;M assumptions'!$O$30</f>
        <v>0</v>
      </c>
      <c r="AT37" s="21">
        <f>$B37*'O&amp;M assumptions'!$O$30</f>
        <v>0</v>
      </c>
      <c r="AU37" s="21">
        <f>$B37*'O&amp;M assumptions'!$O$30</f>
        <v>0</v>
      </c>
      <c r="AV37" s="21">
        <f>IF($B37&gt;0, $B37*('O&amp;M assumptions'!$O$31+'O&amp;M assumptions'!$O$30),$B37*'O&amp;M assumptions'!$O$30)</f>
        <v>0</v>
      </c>
      <c r="AW37" s="21">
        <f>$B37*'O&amp;M assumptions'!$O$30</f>
        <v>0</v>
      </c>
      <c r="AX37" s="21">
        <f>$B37*'O&amp;M assumptions'!$O$30</f>
        <v>0</v>
      </c>
      <c r="AY37" s="21">
        <f>$B37*'O&amp;M assumptions'!$O$30</f>
        <v>0</v>
      </c>
      <c r="AZ37" s="21">
        <f>$B37*'O&amp;M assumptions'!$O$30</f>
        <v>0</v>
      </c>
      <c r="BA37" s="21">
        <f>$B37*'O&amp;M assumptions'!$O$30</f>
        <v>0</v>
      </c>
      <c r="BB37" s="21">
        <f>$B37*'O&amp;M assumptions'!$O$30</f>
        <v>0</v>
      </c>
      <c r="BC37" s="21">
        <f>$B37*'O&amp;M assumptions'!$O$30</f>
        <v>0</v>
      </c>
      <c r="BD37" s="21">
        <f>$B37*'O&amp;M assumptions'!$O$30</f>
        <v>0</v>
      </c>
      <c r="BE37" s="21">
        <f>$B37*'O&amp;M assumptions'!$O$30</f>
        <v>0</v>
      </c>
      <c r="BF37" s="21">
        <f>IF($B37&gt;0, $B37*('O&amp;M assumptions'!$O$31+'O&amp;M assumptions'!$O$30),$B37*'O&amp;M assumptions'!$O$30)</f>
        <v>0</v>
      </c>
    </row>
    <row r="38" spans="1:63" x14ac:dyDescent="0.3">
      <c r="A38" s="2">
        <f t="shared" si="3"/>
        <v>2048</v>
      </c>
      <c r="B38" s="148">
        <f>'business decision calcs'!D39</f>
        <v>0</v>
      </c>
      <c r="C38" s="148"/>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21">
        <f>$B38*'O&amp;M assumptions'!$O$28</f>
        <v>0</v>
      </c>
      <c r="AE38" s="21">
        <f>$B38*'O&amp;M assumptions'!$O$29</f>
        <v>0</v>
      </c>
      <c r="AF38" s="21">
        <f>$B38*'O&amp;M assumptions'!$O$30</f>
        <v>0</v>
      </c>
      <c r="AG38" s="21">
        <f>$B38*'O&amp;M assumptions'!$O$30</f>
        <v>0</v>
      </c>
      <c r="AH38" s="21">
        <f>$B38*'O&amp;M assumptions'!$O$30</f>
        <v>0</v>
      </c>
      <c r="AI38" s="21">
        <f>$B38*'O&amp;M assumptions'!$O$30</f>
        <v>0</v>
      </c>
      <c r="AJ38" s="21">
        <f>$B38*'O&amp;M assumptions'!$O$30</f>
        <v>0</v>
      </c>
      <c r="AK38" s="21">
        <f>$B38*'O&amp;M assumptions'!$O$30</f>
        <v>0</v>
      </c>
      <c r="AL38" s="21">
        <f>$B38*'O&amp;M assumptions'!$O$30</f>
        <v>0</v>
      </c>
      <c r="AM38" s="21">
        <f>IF($B38&gt;0, $B38*('O&amp;M assumptions'!$O$31+'O&amp;M assumptions'!$O$30),$B38*'O&amp;M assumptions'!$O$30)</f>
        <v>0</v>
      </c>
      <c r="AN38" s="21">
        <f>$B38*'O&amp;M assumptions'!$O$30</f>
        <v>0</v>
      </c>
      <c r="AO38" s="21">
        <f>$B38*'O&amp;M assumptions'!$O$30</f>
        <v>0</v>
      </c>
      <c r="AP38" s="21">
        <f>$B38*'O&amp;M assumptions'!$O$30</f>
        <v>0</v>
      </c>
      <c r="AQ38" s="21">
        <f>$B38*'O&amp;M assumptions'!$O$30</f>
        <v>0</v>
      </c>
      <c r="AR38" s="21">
        <f>$B38*'O&amp;M assumptions'!$O$30</f>
        <v>0</v>
      </c>
      <c r="AS38" s="21">
        <f>$B38*'O&amp;M assumptions'!$O$30</f>
        <v>0</v>
      </c>
      <c r="AT38" s="21">
        <f>$B38*'O&amp;M assumptions'!$O$30</f>
        <v>0</v>
      </c>
      <c r="AU38" s="21">
        <f>$B38*'O&amp;M assumptions'!$O$30</f>
        <v>0</v>
      </c>
      <c r="AV38" s="21">
        <f>$B38*'O&amp;M assumptions'!$O$30</f>
        <v>0</v>
      </c>
      <c r="AW38" s="21">
        <f>IF($B38&gt;0, $B38*('O&amp;M assumptions'!$O$31+'O&amp;M assumptions'!$O$30),$B38*'O&amp;M assumptions'!$O$30)</f>
        <v>0</v>
      </c>
      <c r="AX38" s="21">
        <f>$B38*'O&amp;M assumptions'!$O$30</f>
        <v>0</v>
      </c>
      <c r="AY38" s="21">
        <f>$B38*'O&amp;M assumptions'!$O$30</f>
        <v>0</v>
      </c>
      <c r="AZ38" s="21">
        <f>$B38*'O&amp;M assumptions'!$O$30</f>
        <v>0</v>
      </c>
      <c r="BA38" s="21">
        <f>$B38*'O&amp;M assumptions'!$O$30</f>
        <v>0</v>
      </c>
      <c r="BB38" s="21">
        <f>$B38*'O&amp;M assumptions'!$O$30</f>
        <v>0</v>
      </c>
      <c r="BC38" s="21">
        <f>$B38*'O&amp;M assumptions'!$O$30</f>
        <v>0</v>
      </c>
      <c r="BD38" s="21">
        <f>$B38*'O&amp;M assumptions'!$O$30</f>
        <v>0</v>
      </c>
      <c r="BE38" s="21">
        <f>$B38*'O&amp;M assumptions'!$O$30</f>
        <v>0</v>
      </c>
      <c r="BF38" s="21">
        <f>$B38*'O&amp;M assumptions'!$O$30</f>
        <v>0</v>
      </c>
      <c r="BG38" s="21">
        <f>IF($B38&gt;0, $B38*('O&amp;M assumptions'!$O$31+'O&amp;M assumptions'!$O$30),$B38*'O&amp;M assumptions'!$O$30)</f>
        <v>0</v>
      </c>
    </row>
    <row r="39" spans="1:63" x14ac:dyDescent="0.3">
      <c r="A39" s="2">
        <f t="shared" si="3"/>
        <v>2049</v>
      </c>
      <c r="B39" s="148">
        <f>'business decision calcs'!D40</f>
        <v>0</v>
      </c>
      <c r="C39" s="148"/>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21">
        <f>$B39*'O&amp;M assumptions'!$O$28</f>
        <v>0</v>
      </c>
      <c r="AF39" s="21">
        <f>$B39*'O&amp;M assumptions'!$O$29</f>
        <v>0</v>
      </c>
      <c r="AG39" s="21">
        <f>$B39*'O&amp;M assumptions'!$O$30</f>
        <v>0</v>
      </c>
      <c r="AH39" s="21">
        <f>$B39*'O&amp;M assumptions'!$O$30</f>
        <v>0</v>
      </c>
      <c r="AI39" s="21">
        <f>$B39*'O&amp;M assumptions'!$O$30</f>
        <v>0</v>
      </c>
      <c r="AJ39" s="21">
        <f>$B39*'O&amp;M assumptions'!$O$30</f>
        <v>0</v>
      </c>
      <c r="AK39" s="21">
        <f>$B39*'O&amp;M assumptions'!$O$30</f>
        <v>0</v>
      </c>
      <c r="AL39" s="21">
        <f>$B39*'O&amp;M assumptions'!$O$30</f>
        <v>0</v>
      </c>
      <c r="AM39" s="21">
        <f>$B39*'O&amp;M assumptions'!$O$30</f>
        <v>0</v>
      </c>
      <c r="AN39" s="21">
        <f>IF($B39&gt;0, $B39*('O&amp;M assumptions'!$O$31+'O&amp;M assumptions'!$O$30),$B39*'O&amp;M assumptions'!$O$30)</f>
        <v>0</v>
      </c>
      <c r="AO39" s="21">
        <f>$B39*'O&amp;M assumptions'!$O$30</f>
        <v>0</v>
      </c>
      <c r="AP39" s="21">
        <f>$B39*'O&amp;M assumptions'!$O$30</f>
        <v>0</v>
      </c>
      <c r="AQ39" s="21">
        <f>$B39*'O&amp;M assumptions'!$O$30</f>
        <v>0</v>
      </c>
      <c r="AR39" s="21">
        <f>$B39*'O&amp;M assumptions'!$O$30</f>
        <v>0</v>
      </c>
      <c r="AS39" s="21">
        <f>$B39*'O&amp;M assumptions'!$O$30</f>
        <v>0</v>
      </c>
      <c r="AT39" s="21">
        <f>$B39*'O&amp;M assumptions'!$O$30</f>
        <v>0</v>
      </c>
      <c r="AU39" s="21">
        <f>$B39*'O&amp;M assumptions'!$O$30</f>
        <v>0</v>
      </c>
      <c r="AV39" s="21">
        <f>$B39*'O&amp;M assumptions'!$O$30</f>
        <v>0</v>
      </c>
      <c r="AW39" s="21">
        <f>$B39*'O&amp;M assumptions'!$O$30</f>
        <v>0</v>
      </c>
      <c r="AX39" s="21">
        <f>IF($B39&gt;0, $B39*('O&amp;M assumptions'!$O$31+'O&amp;M assumptions'!$O$30),$B39*'O&amp;M assumptions'!$O$30)</f>
        <v>0</v>
      </c>
      <c r="AY39" s="21">
        <f>$B39*'O&amp;M assumptions'!$O$30</f>
        <v>0</v>
      </c>
      <c r="AZ39" s="21">
        <f>$B39*'O&amp;M assumptions'!$O$30</f>
        <v>0</v>
      </c>
      <c r="BA39" s="21">
        <f>$B39*'O&amp;M assumptions'!$O$30</f>
        <v>0</v>
      </c>
      <c r="BB39" s="21">
        <f>$B39*'O&amp;M assumptions'!$O$30</f>
        <v>0</v>
      </c>
      <c r="BC39" s="21">
        <f>$B39*'O&amp;M assumptions'!$O$30</f>
        <v>0</v>
      </c>
      <c r="BD39" s="21">
        <f>$B39*'O&amp;M assumptions'!$O$30</f>
        <v>0</v>
      </c>
      <c r="BE39" s="21">
        <f>$B39*'O&amp;M assumptions'!$O$30</f>
        <v>0</v>
      </c>
      <c r="BF39" s="21">
        <f>$B39*'O&amp;M assumptions'!$O$30</f>
        <v>0</v>
      </c>
      <c r="BG39" s="21">
        <f>$B39*'O&amp;M assumptions'!$O$30</f>
        <v>0</v>
      </c>
      <c r="BH39" s="21">
        <f>IF($B39&gt;0, $B39*('O&amp;M assumptions'!$O$31+'O&amp;M assumptions'!$O$30),$B39*'O&amp;M assumptions'!$O$30)</f>
        <v>0</v>
      </c>
    </row>
    <row r="40" spans="1:63" x14ac:dyDescent="0.3">
      <c r="A40" s="2">
        <f t="shared" si="3"/>
        <v>2050</v>
      </c>
      <c r="B40" s="148">
        <f>'business decision calcs'!D41</f>
        <v>0</v>
      </c>
      <c r="C40" s="148"/>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21">
        <f>$B40*'O&amp;M assumptions'!$O$28</f>
        <v>0</v>
      </c>
      <c r="AF40" s="21">
        <f>$B40*'O&amp;M assumptions'!$O$29</f>
        <v>0</v>
      </c>
      <c r="AG40" s="21">
        <f>$B40*'O&amp;M assumptions'!$O$30</f>
        <v>0</v>
      </c>
      <c r="AH40" s="21">
        <f>$B40*'O&amp;M assumptions'!$O$30</f>
        <v>0</v>
      </c>
      <c r="AI40" s="21">
        <f>$B40*'O&amp;M assumptions'!$O$30</f>
        <v>0</v>
      </c>
      <c r="AJ40" s="21">
        <f>$B40*'O&amp;M assumptions'!$O$30</f>
        <v>0</v>
      </c>
      <c r="AK40" s="21">
        <f>$B40*'O&amp;M assumptions'!$O$30</f>
        <v>0</v>
      </c>
      <c r="AL40" s="21">
        <f>$B40*'O&amp;M assumptions'!$O$30</f>
        <v>0</v>
      </c>
      <c r="AM40" s="21">
        <f>$B40*'O&amp;M assumptions'!$O$30</f>
        <v>0</v>
      </c>
      <c r="AN40" s="21">
        <f>IF($B40&gt;0, $B40*('O&amp;M assumptions'!$O$31+'O&amp;M assumptions'!$O$30),$B40*'O&amp;M assumptions'!$O$30)</f>
        <v>0</v>
      </c>
      <c r="AO40" s="21">
        <f>$B40*'O&amp;M assumptions'!$O$30</f>
        <v>0</v>
      </c>
      <c r="AP40" s="21">
        <f>$B40*'O&amp;M assumptions'!$O$30</f>
        <v>0</v>
      </c>
      <c r="AQ40" s="21">
        <f>$B40*'O&amp;M assumptions'!$O$30</f>
        <v>0</v>
      </c>
      <c r="AR40" s="21">
        <f>$B40*'O&amp;M assumptions'!$O$30</f>
        <v>0</v>
      </c>
      <c r="AS40" s="21">
        <f>$B40*'O&amp;M assumptions'!$O$30</f>
        <v>0</v>
      </c>
      <c r="AT40" s="21">
        <f>$B40*'O&amp;M assumptions'!$O$30</f>
        <v>0</v>
      </c>
      <c r="AU40" s="21">
        <f>$B40*'O&amp;M assumptions'!$O$30</f>
        <v>0</v>
      </c>
      <c r="AV40" s="21">
        <f>$B40*'O&amp;M assumptions'!$O$30</f>
        <v>0</v>
      </c>
      <c r="AW40" s="21">
        <f>$B40*'O&amp;M assumptions'!$O$30</f>
        <v>0</v>
      </c>
      <c r="AX40" s="21">
        <f>IF($B40&gt;0, $B40*('O&amp;M assumptions'!$O$31+'O&amp;M assumptions'!$O$30),$B40*'O&amp;M assumptions'!$O$30)</f>
        <v>0</v>
      </c>
      <c r="AY40" s="21">
        <f>$B40*'O&amp;M assumptions'!$O$30</f>
        <v>0</v>
      </c>
      <c r="AZ40" s="21">
        <f>$B40*'O&amp;M assumptions'!$O$30</f>
        <v>0</v>
      </c>
      <c r="BA40" s="21">
        <f>$B40*'O&amp;M assumptions'!$O$30</f>
        <v>0</v>
      </c>
      <c r="BB40" s="21">
        <f>$B40*'O&amp;M assumptions'!$O$30</f>
        <v>0</v>
      </c>
      <c r="BC40" s="21">
        <f>$B40*'O&amp;M assumptions'!$O$30</f>
        <v>0</v>
      </c>
      <c r="BD40" s="21">
        <f>$B40*'O&amp;M assumptions'!$O$30</f>
        <v>0</v>
      </c>
      <c r="BE40" s="21">
        <f>$B40*'O&amp;M assumptions'!$O$30</f>
        <v>0</v>
      </c>
      <c r="BF40" s="21">
        <f>$B40*'O&amp;M assumptions'!$O$30</f>
        <v>0</v>
      </c>
      <c r="BG40" s="21">
        <f>$B40*'O&amp;M assumptions'!$O$30</f>
        <v>0</v>
      </c>
      <c r="BH40" s="21">
        <f>IF($B40&gt;0, $B40*('O&amp;M assumptions'!$O$31+'O&amp;M assumptions'!$O$30),$B40*'O&amp;M assumptions'!$O$30)</f>
        <v>0</v>
      </c>
      <c r="BI40" s="148"/>
    </row>
    <row r="41" spans="1:63" x14ac:dyDescent="0.3">
      <c r="A41" s="2">
        <f t="shared" si="3"/>
        <v>2051</v>
      </c>
      <c r="B41" s="148">
        <f>'business decision calcs'!D42</f>
        <v>0</v>
      </c>
      <c r="C41" s="148"/>
      <c r="D41" s="1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9">
        <f>$B41*'O&amp;M assumptions'!$O$28</f>
        <v>0</v>
      </c>
      <c r="AG41" s="189">
        <f>$B41*'O&amp;M assumptions'!$O$29</f>
        <v>0</v>
      </c>
      <c r="AH41" s="21">
        <f>$B41*'O&amp;M assumptions'!$O$30</f>
        <v>0</v>
      </c>
      <c r="AI41" s="21">
        <f>$B41*'O&amp;M assumptions'!$O$30</f>
        <v>0</v>
      </c>
      <c r="AJ41" s="21">
        <f>$B41*'O&amp;M assumptions'!$O$30</f>
        <v>0</v>
      </c>
      <c r="AK41" s="21">
        <f>$B41*'O&amp;M assumptions'!$O$30</f>
        <v>0</v>
      </c>
      <c r="AL41" s="21">
        <f>$B41*'O&amp;M assumptions'!$O$30</f>
        <v>0</v>
      </c>
      <c r="AM41" s="21">
        <f>$B41*'O&amp;M assumptions'!$O$30</f>
        <v>0</v>
      </c>
      <c r="AN41" s="21">
        <f>$B41*'O&amp;M assumptions'!$O$30</f>
        <v>0</v>
      </c>
      <c r="AO41" s="21">
        <f>IF($B41&gt;0, $B41*('O&amp;M assumptions'!$O$31+'O&amp;M assumptions'!$O$30),$B41*'O&amp;M assumptions'!$O$30)</f>
        <v>0</v>
      </c>
      <c r="AP41" s="21">
        <f>$B41*'O&amp;M assumptions'!$O$30</f>
        <v>0</v>
      </c>
      <c r="AQ41" s="21">
        <f>$B41*'O&amp;M assumptions'!$O$30</f>
        <v>0</v>
      </c>
      <c r="AR41" s="21">
        <f>$B41*'O&amp;M assumptions'!$O$30</f>
        <v>0</v>
      </c>
      <c r="AS41" s="21">
        <f>$B41*'O&amp;M assumptions'!$O$30</f>
        <v>0</v>
      </c>
      <c r="AT41" s="21">
        <f>$B41*'O&amp;M assumptions'!$O$30</f>
        <v>0</v>
      </c>
      <c r="AU41" s="21">
        <f>$B41*'O&amp;M assumptions'!$O$30</f>
        <v>0</v>
      </c>
      <c r="AV41" s="21">
        <f>$B41*'O&amp;M assumptions'!$O$30</f>
        <v>0</v>
      </c>
      <c r="AW41" s="21">
        <f>$B41*'O&amp;M assumptions'!$O$30</f>
        <v>0</v>
      </c>
      <c r="AX41" s="21">
        <f>$B41*'O&amp;M assumptions'!$O$30</f>
        <v>0</v>
      </c>
      <c r="AY41" s="21">
        <f>IF($B41&gt;0, $B41*('O&amp;M assumptions'!$O$31+'O&amp;M assumptions'!$O$30),$B41*'O&amp;M assumptions'!$O$30)</f>
        <v>0</v>
      </c>
      <c r="AZ41" s="21">
        <f>$B41*'O&amp;M assumptions'!$O$30</f>
        <v>0</v>
      </c>
      <c r="BA41" s="21">
        <f>$B41*'O&amp;M assumptions'!$O$30</f>
        <v>0</v>
      </c>
      <c r="BB41" s="21">
        <f>$B41*'O&amp;M assumptions'!$O$30</f>
        <v>0</v>
      </c>
      <c r="BC41" s="21">
        <f>$B41*'O&amp;M assumptions'!$O$30</f>
        <v>0</v>
      </c>
      <c r="BD41" s="21">
        <f>$B41*'O&amp;M assumptions'!$O$30</f>
        <v>0</v>
      </c>
      <c r="BE41" s="21">
        <f>$B41*'O&amp;M assumptions'!$O$30</f>
        <v>0</v>
      </c>
      <c r="BF41" s="21">
        <f>$B41*'O&amp;M assumptions'!$O$30</f>
        <v>0</v>
      </c>
      <c r="BG41" s="21">
        <f>$B41*'O&amp;M assumptions'!$O$30</f>
        <v>0</v>
      </c>
      <c r="BH41" s="21">
        <f>$B41*'O&amp;M assumptions'!$O$30</f>
        <v>0</v>
      </c>
      <c r="BI41" s="21">
        <f>IF($B41&gt;0, $B41*('O&amp;M assumptions'!$O$31+'O&amp;M assumptions'!$O$30),$B41*'O&amp;M assumptions'!$O$30)</f>
        <v>0</v>
      </c>
      <c r="BJ41" s="148"/>
    </row>
    <row r="42" spans="1:63" x14ac:dyDescent="0.3">
      <c r="A42" s="2" t="s">
        <v>216</v>
      </c>
      <c r="B42" s="21">
        <f>SUM(B12:B41)</f>
        <v>155</v>
      </c>
      <c r="C42" s="21"/>
      <c r="D42" s="21">
        <f t="shared" ref="D42:AG42" si="4">SUM(D12:D41)</f>
        <v>42950.806451612894</v>
      </c>
      <c r="E42" s="21">
        <f t="shared" si="4"/>
        <v>96639.314516129016</v>
      </c>
      <c r="F42" s="21">
        <f t="shared" si="4"/>
        <v>150327.82258064515</v>
      </c>
      <c r="G42" s="21">
        <f t="shared" si="4"/>
        <v>204016.33064516127</v>
      </c>
      <c r="H42" s="21">
        <f t="shared" si="4"/>
        <v>257704.83870967739</v>
      </c>
      <c r="I42" s="21">
        <f t="shared" si="4"/>
        <v>311393.34677419352</v>
      </c>
      <c r="J42" s="21">
        <f t="shared" si="4"/>
        <v>332868.74999999994</v>
      </c>
      <c r="K42" s="21">
        <f t="shared" si="4"/>
        <v>332868.74999999994</v>
      </c>
      <c r="L42" s="21">
        <f t="shared" si="4"/>
        <v>332868.74999999994</v>
      </c>
      <c r="M42" s="21">
        <f t="shared" si="4"/>
        <v>352304.23387096764</v>
      </c>
      <c r="N42" s="21">
        <f t="shared" si="4"/>
        <v>357163.10483870958</v>
      </c>
      <c r="O42" s="21">
        <f t="shared" si="4"/>
        <v>357163.10483870958</v>
      </c>
      <c r="P42" s="21">
        <f t="shared" si="4"/>
        <v>357163.10483870964</v>
      </c>
      <c r="Q42" s="21">
        <f t="shared" si="4"/>
        <v>357163.10483870964</v>
      </c>
      <c r="R42" s="21">
        <f t="shared" si="4"/>
        <v>357163.10483870964</v>
      </c>
      <c r="S42" s="21">
        <f t="shared" si="4"/>
        <v>342586.49193548382</v>
      </c>
      <c r="T42" s="21">
        <f t="shared" si="4"/>
        <v>332868.74999999994</v>
      </c>
      <c r="U42" s="21">
        <f t="shared" si="4"/>
        <v>332868.74999999994</v>
      </c>
      <c r="V42" s="21">
        <f t="shared" si="4"/>
        <v>332868.74999999994</v>
      </c>
      <c r="W42" s="21">
        <f t="shared" si="4"/>
        <v>352304.23387096764</v>
      </c>
      <c r="X42" s="21">
        <f t="shared" si="4"/>
        <v>357163.10483870958</v>
      </c>
      <c r="Y42" s="21">
        <f t="shared" si="4"/>
        <v>357163.10483870958</v>
      </c>
      <c r="Z42" s="21">
        <f t="shared" si="4"/>
        <v>357163.10483870964</v>
      </c>
      <c r="AA42" s="21">
        <f t="shared" si="4"/>
        <v>357163.10483870964</v>
      </c>
      <c r="AB42" s="21">
        <f t="shared" si="4"/>
        <v>357163.10483870964</v>
      </c>
      <c r="AC42" s="21">
        <f t="shared" si="4"/>
        <v>342586.49193548382</v>
      </c>
      <c r="AD42" s="21">
        <f t="shared" si="4"/>
        <v>332868.74999999994</v>
      </c>
      <c r="AE42" s="21">
        <f t="shared" si="4"/>
        <v>332868.74999999994</v>
      </c>
      <c r="AF42" s="21">
        <f t="shared" si="4"/>
        <v>332868.74999999994</v>
      </c>
      <c r="AG42" s="21">
        <f t="shared" si="4"/>
        <v>352304.23387096764</v>
      </c>
    </row>
    <row r="43" spans="1:63" ht="17.25" thickBot="1" x14ac:dyDescent="0.3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13BC3-8C50-4DB0-8AFF-281318C5C569}">
  <dimension ref="A7:BK42"/>
  <sheetViews>
    <sheetView topLeftCell="A4" zoomScaleNormal="100" workbookViewId="0">
      <selection activeCell="L7" sqref="L7"/>
    </sheetView>
  </sheetViews>
  <sheetFormatPr defaultColWidth="8.85546875" defaultRowHeight="16.5" x14ac:dyDescent="0.3"/>
  <cols>
    <col min="1" max="1" width="9.140625" style="2" customWidth="1"/>
    <col min="2" max="2" width="14.28515625" style="2" customWidth="1"/>
    <col min="3" max="3" width="4.42578125" style="2" customWidth="1"/>
    <col min="4" max="4" width="11" style="2" customWidth="1"/>
    <col min="5" max="33" width="12.7109375" style="2" customWidth="1"/>
    <col min="34" max="62" width="0" style="2" hidden="1" customWidth="1"/>
    <col min="63" max="16384" width="8.85546875" style="2"/>
  </cols>
  <sheetData>
    <row r="7" spans="1:38" x14ac:dyDescent="0.3">
      <c r="A7" s="19" t="s">
        <v>186</v>
      </c>
    </row>
    <row r="8" spans="1:38" ht="21.75" thickBot="1" x14ac:dyDescent="0.45">
      <c r="A8" s="192" t="s">
        <v>217</v>
      </c>
      <c r="B8" s="193"/>
      <c r="C8" s="19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8" x14ac:dyDescent="0.3">
      <c r="B9" s="2" t="s">
        <v>52</v>
      </c>
    </row>
    <row r="10" spans="1:38" x14ac:dyDescent="0.3">
      <c r="D10" s="2">
        <v>2022</v>
      </c>
      <c r="E10" s="2">
        <f t="shared" ref="E10:AC10" si="0">D10+1</f>
        <v>2023</v>
      </c>
      <c r="F10" s="2">
        <f t="shared" si="0"/>
        <v>2024</v>
      </c>
      <c r="G10" s="2">
        <f t="shared" si="0"/>
        <v>2025</v>
      </c>
      <c r="H10" s="2">
        <f t="shared" si="0"/>
        <v>2026</v>
      </c>
      <c r="I10" s="2">
        <f t="shared" si="0"/>
        <v>2027</v>
      </c>
      <c r="J10" s="2">
        <f t="shared" si="0"/>
        <v>2028</v>
      </c>
      <c r="K10" s="2">
        <f t="shared" si="0"/>
        <v>2029</v>
      </c>
      <c r="L10" s="2">
        <f t="shared" si="0"/>
        <v>2030</v>
      </c>
      <c r="M10" s="2">
        <f t="shared" si="0"/>
        <v>2031</v>
      </c>
      <c r="N10" s="2">
        <f t="shared" si="0"/>
        <v>2032</v>
      </c>
      <c r="O10" s="2">
        <f t="shared" si="0"/>
        <v>2033</v>
      </c>
      <c r="P10" s="2">
        <f t="shared" si="0"/>
        <v>2034</v>
      </c>
      <c r="Q10" s="2">
        <f t="shared" si="0"/>
        <v>2035</v>
      </c>
      <c r="R10" s="2">
        <f t="shared" si="0"/>
        <v>2036</v>
      </c>
      <c r="S10" s="2">
        <f t="shared" si="0"/>
        <v>2037</v>
      </c>
      <c r="T10" s="2">
        <f t="shared" si="0"/>
        <v>2038</v>
      </c>
      <c r="U10" s="2">
        <f t="shared" si="0"/>
        <v>2039</v>
      </c>
      <c r="V10" s="2">
        <f t="shared" si="0"/>
        <v>2040</v>
      </c>
      <c r="W10" s="2">
        <f t="shared" si="0"/>
        <v>2041</v>
      </c>
      <c r="X10" s="2">
        <f t="shared" si="0"/>
        <v>2042</v>
      </c>
      <c r="Y10" s="2">
        <f t="shared" si="0"/>
        <v>2043</v>
      </c>
      <c r="Z10" s="2">
        <f t="shared" si="0"/>
        <v>2044</v>
      </c>
      <c r="AA10" s="2">
        <f t="shared" si="0"/>
        <v>2045</v>
      </c>
      <c r="AB10" s="2">
        <f t="shared" si="0"/>
        <v>2046</v>
      </c>
      <c r="AC10" s="2">
        <f t="shared" si="0"/>
        <v>2047</v>
      </c>
      <c r="AD10" s="2">
        <f t="shared" ref="AD10:AG10" si="1">AC10+1</f>
        <v>2048</v>
      </c>
      <c r="AE10" s="2">
        <f t="shared" si="1"/>
        <v>2049</v>
      </c>
      <c r="AF10" s="2">
        <f t="shared" si="1"/>
        <v>2050</v>
      </c>
      <c r="AG10" s="2">
        <f t="shared" si="1"/>
        <v>2051</v>
      </c>
    </row>
    <row r="11" spans="1:38" x14ac:dyDescent="0.3">
      <c r="A11" s="2">
        <v>2022</v>
      </c>
      <c r="B11" s="148">
        <f>'business decision calcs'!D13</f>
        <v>20</v>
      </c>
      <c r="C11" s="148"/>
      <c r="D11" s="148">
        <f>'O&amp;M assumptions'!$O$40*$B11</f>
        <v>19.274193548387096</v>
      </c>
      <c r="E11" s="148">
        <f>$B11*'O&amp;M assumptions'!$O$41</f>
        <v>13.451612903225804</v>
      </c>
      <c r="F11" s="148">
        <f>$B11*'O&amp;M assumptions'!$O$42</f>
        <v>14.018835642374047</v>
      </c>
      <c r="G11" s="148">
        <f>F11</f>
        <v>14.018835642374047</v>
      </c>
      <c r="H11" s="148">
        <f t="shared" ref="H11:AG17" si="2">G11</f>
        <v>14.018835642374047</v>
      </c>
      <c r="I11" s="148">
        <f t="shared" si="2"/>
        <v>14.018835642374047</v>
      </c>
      <c r="J11" s="148">
        <f t="shared" si="2"/>
        <v>14.018835642374047</v>
      </c>
      <c r="K11" s="148">
        <f t="shared" si="2"/>
        <v>14.018835642374047</v>
      </c>
      <c r="L11" s="148">
        <f t="shared" si="2"/>
        <v>14.018835642374047</v>
      </c>
      <c r="M11" s="148">
        <f t="shared" si="2"/>
        <v>14.018835642374047</v>
      </c>
      <c r="N11" s="148">
        <f t="shared" si="2"/>
        <v>14.018835642374047</v>
      </c>
      <c r="O11" s="148">
        <f t="shared" si="2"/>
        <v>14.018835642374047</v>
      </c>
      <c r="P11" s="148">
        <f t="shared" si="2"/>
        <v>14.018835642374047</v>
      </c>
      <c r="Q11" s="148">
        <f t="shared" si="2"/>
        <v>14.018835642374047</v>
      </c>
      <c r="R11" s="148">
        <f t="shared" si="2"/>
        <v>14.018835642374047</v>
      </c>
      <c r="S11" s="148">
        <f t="shared" si="2"/>
        <v>14.018835642374047</v>
      </c>
      <c r="T11" s="148">
        <f t="shared" si="2"/>
        <v>14.018835642374047</v>
      </c>
      <c r="U11" s="148">
        <f t="shared" si="2"/>
        <v>14.018835642374047</v>
      </c>
      <c r="V11" s="148">
        <f t="shared" si="2"/>
        <v>14.018835642374047</v>
      </c>
      <c r="W11" s="148">
        <f t="shared" si="2"/>
        <v>14.018835642374047</v>
      </c>
      <c r="X11" s="148">
        <f t="shared" si="2"/>
        <v>14.018835642374047</v>
      </c>
      <c r="Y11" s="148">
        <f t="shared" si="2"/>
        <v>14.018835642374047</v>
      </c>
      <c r="Z11" s="148">
        <f t="shared" si="2"/>
        <v>14.018835642374047</v>
      </c>
      <c r="AA11" s="148">
        <f t="shared" si="2"/>
        <v>14.018835642374047</v>
      </c>
      <c r="AB11" s="148">
        <f t="shared" si="2"/>
        <v>14.018835642374047</v>
      </c>
      <c r="AC11" s="148">
        <f t="shared" si="2"/>
        <v>14.018835642374047</v>
      </c>
      <c r="AD11" s="148">
        <f t="shared" si="2"/>
        <v>14.018835642374047</v>
      </c>
      <c r="AE11" s="148">
        <f t="shared" si="2"/>
        <v>14.018835642374047</v>
      </c>
      <c r="AF11" s="148">
        <f t="shared" si="2"/>
        <v>14.018835642374047</v>
      </c>
      <c r="AG11" s="148">
        <f t="shared" si="2"/>
        <v>14.018835642374047</v>
      </c>
    </row>
    <row r="12" spans="1:38" x14ac:dyDescent="0.3">
      <c r="A12" s="2">
        <f>A11+1</f>
        <v>2023</v>
      </c>
      <c r="B12" s="148">
        <f>'business decision calcs'!D14</f>
        <v>25</v>
      </c>
      <c r="C12" s="148"/>
      <c r="E12" s="148">
        <f>'O&amp;M assumptions'!$O$40*$B12</f>
        <v>24.092741935483868</v>
      </c>
      <c r="F12" s="148">
        <f>$B12*'O&amp;M assumptions'!$O$41</f>
        <v>16.814516129032256</v>
      </c>
      <c r="G12" s="148">
        <f>$B12*'O&amp;M assumptions'!$O$42</f>
        <v>17.523544552967557</v>
      </c>
      <c r="H12" s="148">
        <f>G12</f>
        <v>17.523544552967557</v>
      </c>
      <c r="I12" s="148">
        <f t="shared" si="2"/>
        <v>17.523544552967557</v>
      </c>
      <c r="J12" s="148">
        <f t="shared" si="2"/>
        <v>17.523544552967557</v>
      </c>
      <c r="K12" s="148">
        <f t="shared" si="2"/>
        <v>17.523544552967557</v>
      </c>
      <c r="L12" s="148">
        <f t="shared" si="2"/>
        <v>17.523544552967557</v>
      </c>
      <c r="M12" s="148">
        <f t="shared" si="2"/>
        <v>17.523544552967557</v>
      </c>
      <c r="N12" s="148">
        <f t="shared" si="2"/>
        <v>17.523544552967557</v>
      </c>
      <c r="O12" s="148">
        <f t="shared" si="2"/>
        <v>17.523544552967557</v>
      </c>
      <c r="P12" s="148">
        <f t="shared" si="2"/>
        <v>17.523544552967557</v>
      </c>
      <c r="Q12" s="148">
        <f t="shared" si="2"/>
        <v>17.523544552967557</v>
      </c>
      <c r="R12" s="148">
        <f t="shared" si="2"/>
        <v>17.523544552967557</v>
      </c>
      <c r="S12" s="148">
        <f t="shared" si="2"/>
        <v>17.523544552967557</v>
      </c>
      <c r="T12" s="148">
        <f t="shared" si="2"/>
        <v>17.523544552967557</v>
      </c>
      <c r="U12" s="148">
        <f t="shared" si="2"/>
        <v>17.523544552967557</v>
      </c>
      <c r="V12" s="148">
        <f t="shared" si="2"/>
        <v>17.523544552967557</v>
      </c>
      <c r="W12" s="148">
        <f t="shared" si="2"/>
        <v>17.523544552967557</v>
      </c>
      <c r="X12" s="148">
        <f t="shared" si="2"/>
        <v>17.523544552967557</v>
      </c>
      <c r="Y12" s="148">
        <f t="shared" si="2"/>
        <v>17.523544552967557</v>
      </c>
      <c r="Z12" s="148">
        <f t="shared" si="2"/>
        <v>17.523544552967557</v>
      </c>
      <c r="AA12" s="148">
        <f t="shared" si="2"/>
        <v>17.523544552967557</v>
      </c>
      <c r="AB12" s="148">
        <f t="shared" si="2"/>
        <v>17.523544552967557</v>
      </c>
      <c r="AC12" s="148">
        <f t="shared" si="2"/>
        <v>17.523544552967557</v>
      </c>
      <c r="AD12" s="148">
        <f t="shared" si="2"/>
        <v>17.523544552967557</v>
      </c>
      <c r="AE12" s="148">
        <f t="shared" si="2"/>
        <v>17.523544552967557</v>
      </c>
      <c r="AF12" s="148">
        <f t="shared" si="2"/>
        <v>17.523544552967557</v>
      </c>
      <c r="AG12" s="148">
        <f t="shared" si="2"/>
        <v>17.523544552967557</v>
      </c>
      <c r="AH12" s="148">
        <f t="shared" ref="AH12:AL16" si="3">AG12</f>
        <v>17.523544552967557</v>
      </c>
    </row>
    <row r="13" spans="1:38" x14ac:dyDescent="0.3">
      <c r="A13" s="2">
        <f t="shared" ref="A13:A40" si="4">A12+1</f>
        <v>2024</v>
      </c>
      <c r="B13" s="148">
        <f>'business decision calcs'!D15</f>
        <v>25</v>
      </c>
      <c r="C13" s="148"/>
      <c r="F13" s="148">
        <f>'O&amp;M assumptions'!$O$40*$B13</f>
        <v>24.092741935483868</v>
      </c>
      <c r="G13" s="148">
        <f>$B13*'O&amp;M assumptions'!$O$41</f>
        <v>16.814516129032256</v>
      </c>
      <c r="H13" s="148">
        <f>$B13*'O&amp;M assumptions'!$O$42</f>
        <v>17.523544552967557</v>
      </c>
      <c r="I13" s="148">
        <f>H13</f>
        <v>17.523544552967557</v>
      </c>
      <c r="J13" s="148">
        <f t="shared" si="2"/>
        <v>17.523544552967557</v>
      </c>
      <c r="K13" s="148">
        <f t="shared" si="2"/>
        <v>17.523544552967557</v>
      </c>
      <c r="L13" s="148">
        <f t="shared" si="2"/>
        <v>17.523544552967557</v>
      </c>
      <c r="M13" s="148">
        <f t="shared" si="2"/>
        <v>17.523544552967557</v>
      </c>
      <c r="N13" s="148">
        <f t="shared" si="2"/>
        <v>17.523544552967557</v>
      </c>
      <c r="O13" s="148">
        <f t="shared" si="2"/>
        <v>17.523544552967557</v>
      </c>
      <c r="P13" s="148">
        <f t="shared" si="2"/>
        <v>17.523544552967557</v>
      </c>
      <c r="Q13" s="148">
        <f t="shared" si="2"/>
        <v>17.523544552967557</v>
      </c>
      <c r="R13" s="148">
        <f t="shared" si="2"/>
        <v>17.523544552967557</v>
      </c>
      <c r="S13" s="148">
        <f t="shared" si="2"/>
        <v>17.523544552967557</v>
      </c>
      <c r="T13" s="148">
        <f t="shared" si="2"/>
        <v>17.523544552967557</v>
      </c>
      <c r="U13" s="148">
        <f t="shared" si="2"/>
        <v>17.523544552967557</v>
      </c>
      <c r="V13" s="148">
        <f t="shared" si="2"/>
        <v>17.523544552967557</v>
      </c>
      <c r="W13" s="148">
        <f t="shared" si="2"/>
        <v>17.523544552967557</v>
      </c>
      <c r="X13" s="148">
        <f t="shared" si="2"/>
        <v>17.523544552967557</v>
      </c>
      <c r="Y13" s="148">
        <f t="shared" si="2"/>
        <v>17.523544552967557</v>
      </c>
      <c r="Z13" s="148">
        <f t="shared" si="2"/>
        <v>17.523544552967557</v>
      </c>
      <c r="AA13" s="148">
        <f t="shared" si="2"/>
        <v>17.523544552967557</v>
      </c>
      <c r="AB13" s="148">
        <f t="shared" si="2"/>
        <v>17.523544552967557</v>
      </c>
      <c r="AC13" s="148">
        <f t="shared" si="2"/>
        <v>17.523544552967557</v>
      </c>
      <c r="AD13" s="148">
        <f t="shared" si="2"/>
        <v>17.523544552967557</v>
      </c>
      <c r="AE13" s="148">
        <f t="shared" si="2"/>
        <v>17.523544552967557</v>
      </c>
      <c r="AF13" s="148">
        <f t="shared" si="2"/>
        <v>17.523544552967557</v>
      </c>
      <c r="AG13" s="148">
        <f t="shared" si="2"/>
        <v>17.523544552967557</v>
      </c>
      <c r="AH13" s="148">
        <f t="shared" si="3"/>
        <v>17.523544552967557</v>
      </c>
      <c r="AI13" s="148">
        <f t="shared" si="3"/>
        <v>17.523544552967557</v>
      </c>
    </row>
    <row r="14" spans="1:38" x14ac:dyDescent="0.3">
      <c r="A14" s="2">
        <f t="shared" si="4"/>
        <v>2025</v>
      </c>
      <c r="B14" s="148">
        <f>'business decision calcs'!D16</f>
        <v>25</v>
      </c>
      <c r="C14" s="148"/>
      <c r="G14" s="148">
        <f>'O&amp;M assumptions'!$O$40*$B14</f>
        <v>24.092741935483868</v>
      </c>
      <c r="H14" s="148">
        <f>$B14*'O&amp;M assumptions'!$O$41</f>
        <v>16.814516129032256</v>
      </c>
      <c r="I14" s="148">
        <f>$B14*'O&amp;M assumptions'!$O$42</f>
        <v>17.523544552967557</v>
      </c>
      <c r="J14" s="148">
        <f>I14</f>
        <v>17.523544552967557</v>
      </c>
      <c r="K14" s="148">
        <f t="shared" si="2"/>
        <v>17.523544552967557</v>
      </c>
      <c r="L14" s="148">
        <f t="shared" si="2"/>
        <v>17.523544552967557</v>
      </c>
      <c r="M14" s="148">
        <f t="shared" si="2"/>
        <v>17.523544552967557</v>
      </c>
      <c r="N14" s="148">
        <f t="shared" si="2"/>
        <v>17.523544552967557</v>
      </c>
      <c r="O14" s="148">
        <f t="shared" si="2"/>
        <v>17.523544552967557</v>
      </c>
      <c r="P14" s="148">
        <f t="shared" si="2"/>
        <v>17.523544552967557</v>
      </c>
      <c r="Q14" s="148">
        <f t="shared" si="2"/>
        <v>17.523544552967557</v>
      </c>
      <c r="R14" s="148">
        <f t="shared" si="2"/>
        <v>17.523544552967557</v>
      </c>
      <c r="S14" s="148">
        <f t="shared" si="2"/>
        <v>17.523544552967557</v>
      </c>
      <c r="T14" s="148">
        <f t="shared" si="2"/>
        <v>17.523544552967557</v>
      </c>
      <c r="U14" s="148">
        <f t="shared" si="2"/>
        <v>17.523544552967557</v>
      </c>
      <c r="V14" s="148">
        <f t="shared" si="2"/>
        <v>17.523544552967557</v>
      </c>
      <c r="W14" s="148">
        <f t="shared" si="2"/>
        <v>17.523544552967557</v>
      </c>
      <c r="X14" s="148">
        <f t="shared" si="2"/>
        <v>17.523544552967557</v>
      </c>
      <c r="Y14" s="148">
        <f t="shared" si="2"/>
        <v>17.523544552967557</v>
      </c>
      <c r="Z14" s="148">
        <f t="shared" si="2"/>
        <v>17.523544552967557</v>
      </c>
      <c r="AA14" s="148">
        <f t="shared" si="2"/>
        <v>17.523544552967557</v>
      </c>
      <c r="AB14" s="148">
        <f t="shared" si="2"/>
        <v>17.523544552967557</v>
      </c>
      <c r="AC14" s="148">
        <f t="shared" si="2"/>
        <v>17.523544552967557</v>
      </c>
      <c r="AD14" s="148">
        <f t="shared" si="2"/>
        <v>17.523544552967557</v>
      </c>
      <c r="AE14" s="148">
        <f t="shared" si="2"/>
        <v>17.523544552967557</v>
      </c>
      <c r="AF14" s="148">
        <f t="shared" si="2"/>
        <v>17.523544552967557</v>
      </c>
      <c r="AG14" s="148">
        <f t="shared" si="2"/>
        <v>17.523544552967557</v>
      </c>
      <c r="AH14" s="148">
        <f t="shared" si="3"/>
        <v>17.523544552967557</v>
      </c>
      <c r="AI14" s="148">
        <f t="shared" si="3"/>
        <v>17.523544552967557</v>
      </c>
      <c r="AJ14" s="148">
        <f t="shared" si="3"/>
        <v>17.523544552967557</v>
      </c>
    </row>
    <row r="15" spans="1:38" x14ac:dyDescent="0.3">
      <c r="A15" s="2">
        <f t="shared" si="4"/>
        <v>2026</v>
      </c>
      <c r="B15" s="148">
        <f>'business decision calcs'!D17</f>
        <v>25</v>
      </c>
      <c r="C15" s="148"/>
      <c r="H15" s="148">
        <f>'O&amp;M assumptions'!$O$40*$B15</f>
        <v>24.092741935483868</v>
      </c>
      <c r="I15" s="148">
        <f>$B15*'O&amp;M assumptions'!$O$41</f>
        <v>16.814516129032256</v>
      </c>
      <c r="J15" s="148">
        <f>$B15*'O&amp;M assumptions'!$O$42</f>
        <v>17.523544552967557</v>
      </c>
      <c r="K15" s="148">
        <f>J15</f>
        <v>17.523544552967557</v>
      </c>
      <c r="L15" s="148">
        <f t="shared" si="2"/>
        <v>17.523544552967557</v>
      </c>
      <c r="M15" s="148">
        <f t="shared" si="2"/>
        <v>17.523544552967557</v>
      </c>
      <c r="N15" s="148">
        <f t="shared" si="2"/>
        <v>17.523544552967557</v>
      </c>
      <c r="O15" s="148">
        <f t="shared" si="2"/>
        <v>17.523544552967557</v>
      </c>
      <c r="P15" s="148">
        <f t="shared" si="2"/>
        <v>17.523544552967557</v>
      </c>
      <c r="Q15" s="148">
        <f t="shared" si="2"/>
        <v>17.523544552967557</v>
      </c>
      <c r="R15" s="148">
        <f t="shared" si="2"/>
        <v>17.523544552967557</v>
      </c>
      <c r="S15" s="148">
        <f t="shared" si="2"/>
        <v>17.523544552967557</v>
      </c>
      <c r="T15" s="148">
        <f t="shared" si="2"/>
        <v>17.523544552967557</v>
      </c>
      <c r="U15" s="148">
        <f t="shared" si="2"/>
        <v>17.523544552967557</v>
      </c>
      <c r="V15" s="148">
        <f t="shared" si="2"/>
        <v>17.523544552967557</v>
      </c>
      <c r="W15" s="148">
        <f t="shared" si="2"/>
        <v>17.523544552967557</v>
      </c>
      <c r="X15" s="148">
        <f t="shared" si="2"/>
        <v>17.523544552967557</v>
      </c>
      <c r="Y15" s="148">
        <f t="shared" si="2"/>
        <v>17.523544552967557</v>
      </c>
      <c r="Z15" s="148">
        <f t="shared" si="2"/>
        <v>17.523544552967557</v>
      </c>
      <c r="AA15" s="148">
        <f t="shared" si="2"/>
        <v>17.523544552967557</v>
      </c>
      <c r="AB15" s="148">
        <f t="shared" si="2"/>
        <v>17.523544552967557</v>
      </c>
      <c r="AC15" s="148">
        <f t="shared" si="2"/>
        <v>17.523544552967557</v>
      </c>
      <c r="AD15" s="148">
        <f t="shared" si="2"/>
        <v>17.523544552967557</v>
      </c>
      <c r="AE15" s="148">
        <f t="shared" si="2"/>
        <v>17.523544552967557</v>
      </c>
      <c r="AF15" s="148">
        <f t="shared" si="2"/>
        <v>17.523544552967557</v>
      </c>
      <c r="AG15" s="148">
        <f t="shared" si="2"/>
        <v>17.523544552967557</v>
      </c>
      <c r="AH15" s="148">
        <f t="shared" si="3"/>
        <v>17.523544552967557</v>
      </c>
      <c r="AI15" s="148">
        <f t="shared" si="3"/>
        <v>17.523544552967557</v>
      </c>
      <c r="AJ15" s="148">
        <f t="shared" si="3"/>
        <v>17.523544552967557</v>
      </c>
      <c r="AK15" s="148">
        <f t="shared" si="3"/>
        <v>17.523544552967557</v>
      </c>
    </row>
    <row r="16" spans="1:38" x14ac:dyDescent="0.3">
      <c r="A16" s="2">
        <f t="shared" si="4"/>
        <v>2027</v>
      </c>
      <c r="B16" s="148">
        <f>'business decision calcs'!D18</f>
        <v>25</v>
      </c>
      <c r="C16" s="148"/>
      <c r="I16" s="148">
        <f>'O&amp;M assumptions'!$O$40*$B16</f>
        <v>24.092741935483868</v>
      </c>
      <c r="J16" s="148">
        <f>$B16*'O&amp;M assumptions'!$O$41</f>
        <v>16.814516129032256</v>
      </c>
      <c r="K16" s="148">
        <f>$B16*'O&amp;M assumptions'!$O$42</f>
        <v>17.523544552967557</v>
      </c>
      <c r="L16" s="148">
        <f>K16</f>
        <v>17.523544552967557</v>
      </c>
      <c r="M16" s="148">
        <f t="shared" si="2"/>
        <v>17.523544552967557</v>
      </c>
      <c r="N16" s="148">
        <f t="shared" si="2"/>
        <v>17.523544552967557</v>
      </c>
      <c r="O16" s="148">
        <f t="shared" si="2"/>
        <v>17.523544552967557</v>
      </c>
      <c r="P16" s="148">
        <f t="shared" si="2"/>
        <v>17.523544552967557</v>
      </c>
      <c r="Q16" s="148">
        <f t="shared" si="2"/>
        <v>17.523544552967557</v>
      </c>
      <c r="R16" s="148">
        <f t="shared" si="2"/>
        <v>17.523544552967557</v>
      </c>
      <c r="S16" s="148">
        <f t="shared" si="2"/>
        <v>17.523544552967557</v>
      </c>
      <c r="T16" s="148">
        <f t="shared" si="2"/>
        <v>17.523544552967557</v>
      </c>
      <c r="U16" s="148">
        <f t="shared" si="2"/>
        <v>17.523544552967557</v>
      </c>
      <c r="V16" s="148">
        <f t="shared" si="2"/>
        <v>17.523544552967557</v>
      </c>
      <c r="W16" s="148">
        <f t="shared" si="2"/>
        <v>17.523544552967557</v>
      </c>
      <c r="X16" s="148">
        <f t="shared" si="2"/>
        <v>17.523544552967557</v>
      </c>
      <c r="Y16" s="148">
        <f t="shared" si="2"/>
        <v>17.523544552967557</v>
      </c>
      <c r="Z16" s="148">
        <f t="shared" si="2"/>
        <v>17.523544552967557</v>
      </c>
      <c r="AA16" s="148">
        <f t="shared" si="2"/>
        <v>17.523544552967557</v>
      </c>
      <c r="AB16" s="148">
        <f t="shared" si="2"/>
        <v>17.523544552967557</v>
      </c>
      <c r="AC16" s="148">
        <f t="shared" si="2"/>
        <v>17.523544552967557</v>
      </c>
      <c r="AD16" s="148">
        <f t="shared" si="2"/>
        <v>17.523544552967557</v>
      </c>
      <c r="AE16" s="148">
        <f t="shared" si="2"/>
        <v>17.523544552967557</v>
      </c>
      <c r="AF16" s="148">
        <f t="shared" si="2"/>
        <v>17.523544552967557</v>
      </c>
      <c r="AG16" s="148">
        <f t="shared" si="2"/>
        <v>17.523544552967557</v>
      </c>
      <c r="AH16" s="148">
        <f t="shared" si="3"/>
        <v>17.523544552967557</v>
      </c>
      <c r="AI16" s="148">
        <f t="shared" si="3"/>
        <v>17.523544552967557</v>
      </c>
      <c r="AJ16" s="148">
        <f t="shared" si="3"/>
        <v>17.523544552967557</v>
      </c>
      <c r="AK16" s="148">
        <f t="shared" si="3"/>
        <v>17.523544552967557</v>
      </c>
      <c r="AL16" s="148">
        <f t="shared" si="3"/>
        <v>17.523544552967557</v>
      </c>
    </row>
    <row r="17" spans="1:63" x14ac:dyDescent="0.3">
      <c r="A17" s="2">
        <f t="shared" si="4"/>
        <v>2028</v>
      </c>
      <c r="B17" s="148">
        <f>'business decision calcs'!D19</f>
        <v>10</v>
      </c>
      <c r="C17" s="148"/>
      <c r="J17" s="148">
        <f>'O&amp;M assumptions'!$O$40*$B17</f>
        <v>9.637096774193548</v>
      </c>
      <c r="K17" s="148">
        <f>$B17*'O&amp;M assumptions'!$O$41</f>
        <v>6.7258064516129021</v>
      </c>
      <c r="L17" s="148">
        <f>$B17*'O&amp;M assumptions'!$O$42</f>
        <v>7.0094178211870233</v>
      </c>
      <c r="M17" s="148">
        <f>L17</f>
        <v>7.0094178211870233</v>
      </c>
      <c r="N17" s="148">
        <f t="shared" si="2"/>
        <v>7.0094178211870233</v>
      </c>
      <c r="O17" s="148">
        <f t="shared" si="2"/>
        <v>7.0094178211870233</v>
      </c>
      <c r="P17" s="148">
        <f t="shared" si="2"/>
        <v>7.0094178211870233</v>
      </c>
      <c r="Q17" s="148">
        <f t="shared" si="2"/>
        <v>7.0094178211870233</v>
      </c>
      <c r="R17" s="148">
        <f t="shared" si="2"/>
        <v>7.0094178211870233</v>
      </c>
      <c r="S17" s="148">
        <f t="shared" si="2"/>
        <v>7.0094178211870233</v>
      </c>
      <c r="T17" s="148">
        <f t="shared" si="2"/>
        <v>7.0094178211870233</v>
      </c>
      <c r="U17" s="148">
        <f t="shared" si="2"/>
        <v>7.0094178211870233</v>
      </c>
      <c r="V17" s="148">
        <f t="shared" si="2"/>
        <v>7.0094178211870233</v>
      </c>
      <c r="W17" s="148">
        <f t="shared" si="2"/>
        <v>7.0094178211870233</v>
      </c>
      <c r="X17" s="148">
        <f t="shared" si="2"/>
        <v>7.0094178211870233</v>
      </c>
      <c r="Y17" s="148">
        <f t="shared" si="2"/>
        <v>7.0094178211870233</v>
      </c>
      <c r="Z17" s="148">
        <f t="shared" si="2"/>
        <v>7.0094178211870233</v>
      </c>
      <c r="AA17" s="148">
        <f t="shared" si="2"/>
        <v>7.0094178211870233</v>
      </c>
      <c r="AB17" s="148">
        <f t="shared" si="2"/>
        <v>7.0094178211870233</v>
      </c>
      <c r="AC17" s="148">
        <f t="shared" si="2"/>
        <v>7.0094178211870233</v>
      </c>
      <c r="AD17" s="148">
        <f t="shared" ref="AD17:AM17" si="5">AC17</f>
        <v>7.0094178211870233</v>
      </c>
      <c r="AE17" s="148">
        <f t="shared" si="5"/>
        <v>7.0094178211870233</v>
      </c>
      <c r="AF17" s="148">
        <f t="shared" si="5"/>
        <v>7.0094178211870233</v>
      </c>
      <c r="AG17" s="148">
        <f t="shared" si="5"/>
        <v>7.0094178211870233</v>
      </c>
      <c r="AH17" s="148">
        <f t="shared" si="5"/>
        <v>7.0094178211870233</v>
      </c>
      <c r="AI17" s="148">
        <f t="shared" si="5"/>
        <v>7.0094178211870233</v>
      </c>
      <c r="AJ17" s="148">
        <f t="shared" si="5"/>
        <v>7.0094178211870233</v>
      </c>
      <c r="AK17" s="148">
        <f t="shared" si="5"/>
        <v>7.0094178211870233</v>
      </c>
      <c r="AL17" s="148">
        <f t="shared" si="5"/>
        <v>7.0094178211870233</v>
      </c>
      <c r="AM17" s="148">
        <f t="shared" si="5"/>
        <v>7.0094178211870233</v>
      </c>
    </row>
    <row r="18" spans="1:63" x14ac:dyDescent="0.3">
      <c r="A18" s="2">
        <f t="shared" si="4"/>
        <v>2029</v>
      </c>
      <c r="B18" s="148">
        <f>'business decision calcs'!D20</f>
        <v>0</v>
      </c>
      <c r="C18" s="148"/>
      <c r="K18" s="148">
        <f>'O&amp;M assumptions'!$O$40*$B18</f>
        <v>0</v>
      </c>
      <c r="L18" s="148">
        <f>$B18*'O&amp;M assumptions'!$O$41</f>
        <v>0</v>
      </c>
      <c r="M18" s="148">
        <f>$B18*'O&amp;M assumptions'!$O$42</f>
        <v>0</v>
      </c>
      <c r="N18" s="148">
        <f>M18</f>
        <v>0</v>
      </c>
      <c r="O18" s="148">
        <f t="shared" ref="O18:AN28" si="6">N18</f>
        <v>0</v>
      </c>
      <c r="P18" s="148">
        <f t="shared" si="6"/>
        <v>0</v>
      </c>
      <c r="Q18" s="148">
        <f t="shared" si="6"/>
        <v>0</v>
      </c>
      <c r="R18" s="148">
        <f t="shared" si="6"/>
        <v>0</v>
      </c>
      <c r="S18" s="148">
        <f t="shared" si="6"/>
        <v>0</v>
      </c>
      <c r="T18" s="148">
        <f t="shared" si="6"/>
        <v>0</v>
      </c>
      <c r="U18" s="148">
        <f t="shared" si="6"/>
        <v>0</v>
      </c>
      <c r="V18" s="148">
        <f t="shared" si="6"/>
        <v>0</v>
      </c>
      <c r="W18" s="148">
        <f t="shared" si="6"/>
        <v>0</v>
      </c>
      <c r="X18" s="148">
        <f t="shared" si="6"/>
        <v>0</v>
      </c>
      <c r="Y18" s="148">
        <f t="shared" si="6"/>
        <v>0</v>
      </c>
      <c r="Z18" s="148">
        <f t="shared" si="6"/>
        <v>0</v>
      </c>
      <c r="AA18" s="148">
        <f t="shared" si="6"/>
        <v>0</v>
      </c>
      <c r="AB18" s="148">
        <f t="shared" si="6"/>
        <v>0</v>
      </c>
      <c r="AC18" s="148">
        <f t="shared" si="6"/>
        <v>0</v>
      </c>
      <c r="AD18" s="148">
        <f t="shared" si="6"/>
        <v>0</v>
      </c>
      <c r="AE18" s="148">
        <f t="shared" si="6"/>
        <v>0</v>
      </c>
      <c r="AF18" s="148">
        <f t="shared" si="6"/>
        <v>0</v>
      </c>
      <c r="AG18" s="148">
        <f t="shared" si="6"/>
        <v>0</v>
      </c>
      <c r="AH18" s="148">
        <f t="shared" si="6"/>
        <v>0</v>
      </c>
      <c r="AI18" s="148">
        <f t="shared" si="6"/>
        <v>0</v>
      </c>
      <c r="AJ18" s="148">
        <f t="shared" si="6"/>
        <v>0</v>
      </c>
      <c r="AK18" s="148">
        <f t="shared" si="6"/>
        <v>0</v>
      </c>
      <c r="AL18" s="148">
        <f t="shared" si="6"/>
        <v>0</v>
      </c>
      <c r="AM18" s="148">
        <f t="shared" si="6"/>
        <v>0</v>
      </c>
      <c r="AN18" s="148">
        <f t="shared" si="6"/>
        <v>0</v>
      </c>
    </row>
    <row r="19" spans="1:63" x14ac:dyDescent="0.3">
      <c r="A19" s="2">
        <f t="shared" si="4"/>
        <v>2030</v>
      </c>
      <c r="B19" s="148">
        <f>'business decision calcs'!D21</f>
        <v>0</v>
      </c>
      <c r="C19" s="148"/>
      <c r="K19" s="148"/>
      <c r="L19" s="148">
        <f>'O&amp;M assumptions'!$O$40*$B19</f>
        <v>0</v>
      </c>
      <c r="M19" s="148">
        <f>$B19*'O&amp;M assumptions'!$O$41</f>
        <v>0</v>
      </c>
      <c r="N19" s="148">
        <f>$B19*'O&amp;M assumptions'!$O$42</f>
        <v>0</v>
      </c>
      <c r="O19" s="148">
        <f>N19</f>
        <v>0</v>
      </c>
      <c r="P19" s="148">
        <f t="shared" si="6"/>
        <v>0</v>
      </c>
      <c r="Q19" s="148">
        <f t="shared" si="6"/>
        <v>0</v>
      </c>
      <c r="R19" s="148">
        <f t="shared" si="6"/>
        <v>0</v>
      </c>
      <c r="S19" s="148">
        <f t="shared" si="6"/>
        <v>0</v>
      </c>
      <c r="T19" s="148">
        <f t="shared" si="6"/>
        <v>0</v>
      </c>
      <c r="U19" s="148">
        <f t="shared" si="6"/>
        <v>0</v>
      </c>
      <c r="V19" s="148">
        <f t="shared" si="6"/>
        <v>0</v>
      </c>
      <c r="W19" s="148">
        <f t="shared" si="6"/>
        <v>0</v>
      </c>
      <c r="X19" s="148">
        <f t="shared" si="6"/>
        <v>0</v>
      </c>
      <c r="Y19" s="148">
        <f t="shared" si="6"/>
        <v>0</v>
      </c>
      <c r="Z19" s="148">
        <f t="shared" si="6"/>
        <v>0</v>
      </c>
      <c r="AA19" s="148">
        <f t="shared" si="6"/>
        <v>0</v>
      </c>
      <c r="AB19" s="148">
        <f t="shared" si="6"/>
        <v>0</v>
      </c>
      <c r="AC19" s="148">
        <f t="shared" si="6"/>
        <v>0</v>
      </c>
      <c r="AD19" s="148">
        <f t="shared" si="6"/>
        <v>0</v>
      </c>
      <c r="AE19" s="148">
        <f t="shared" si="6"/>
        <v>0</v>
      </c>
      <c r="AF19" s="148">
        <f t="shared" si="6"/>
        <v>0</v>
      </c>
      <c r="AG19" s="148">
        <f t="shared" si="6"/>
        <v>0</v>
      </c>
      <c r="AH19" s="148">
        <f t="shared" si="6"/>
        <v>0</v>
      </c>
      <c r="AI19" s="148">
        <f t="shared" si="6"/>
        <v>0</v>
      </c>
      <c r="AJ19" s="148">
        <f t="shared" si="6"/>
        <v>0</v>
      </c>
      <c r="AK19" s="148">
        <f t="shared" si="6"/>
        <v>0</v>
      </c>
      <c r="AL19" s="148">
        <f t="shared" si="6"/>
        <v>0</v>
      </c>
      <c r="AM19" s="148">
        <f t="shared" si="6"/>
        <v>0</v>
      </c>
      <c r="AN19" s="148">
        <f t="shared" si="6"/>
        <v>0</v>
      </c>
      <c r="AO19" s="148">
        <f t="shared" ref="AO19:AW27" si="7">AN19</f>
        <v>0</v>
      </c>
    </row>
    <row r="20" spans="1:63" x14ac:dyDescent="0.3">
      <c r="A20" s="2">
        <f t="shared" si="4"/>
        <v>2031</v>
      </c>
      <c r="B20" s="148">
        <f>'business decision calcs'!D22</f>
        <v>0</v>
      </c>
      <c r="C20" s="148"/>
      <c r="M20" s="148">
        <f>'O&amp;M assumptions'!$O$40*$B20</f>
        <v>0</v>
      </c>
      <c r="N20" s="148">
        <f>$B20*'O&amp;M assumptions'!$O$41</f>
        <v>0</v>
      </c>
      <c r="O20" s="148">
        <f>$B20*'O&amp;M assumptions'!$O$42</f>
        <v>0</v>
      </c>
      <c r="P20" s="148">
        <f>O20</f>
        <v>0</v>
      </c>
      <c r="Q20" s="148">
        <f t="shared" si="6"/>
        <v>0</v>
      </c>
      <c r="R20" s="148">
        <f t="shared" si="6"/>
        <v>0</v>
      </c>
      <c r="S20" s="148">
        <f t="shared" si="6"/>
        <v>0</v>
      </c>
      <c r="T20" s="148">
        <f t="shared" si="6"/>
        <v>0</v>
      </c>
      <c r="U20" s="148">
        <f t="shared" si="6"/>
        <v>0</v>
      </c>
      <c r="V20" s="148">
        <f t="shared" si="6"/>
        <v>0</v>
      </c>
      <c r="W20" s="148">
        <f t="shared" si="6"/>
        <v>0</v>
      </c>
      <c r="X20" s="148">
        <f t="shared" si="6"/>
        <v>0</v>
      </c>
      <c r="Y20" s="148">
        <f t="shared" si="6"/>
        <v>0</v>
      </c>
      <c r="Z20" s="148">
        <f t="shared" si="6"/>
        <v>0</v>
      </c>
      <c r="AA20" s="148">
        <f t="shared" si="6"/>
        <v>0</v>
      </c>
      <c r="AB20" s="148">
        <f t="shared" si="6"/>
        <v>0</v>
      </c>
      <c r="AC20" s="148">
        <f t="shared" si="6"/>
        <v>0</v>
      </c>
      <c r="AD20" s="148">
        <f t="shared" si="6"/>
        <v>0</v>
      </c>
      <c r="AE20" s="148">
        <f t="shared" si="6"/>
        <v>0</v>
      </c>
      <c r="AF20" s="148">
        <f t="shared" si="6"/>
        <v>0</v>
      </c>
      <c r="AG20" s="148">
        <f t="shared" si="6"/>
        <v>0</v>
      </c>
      <c r="AH20" s="148">
        <f t="shared" si="6"/>
        <v>0</v>
      </c>
      <c r="AI20" s="148">
        <f t="shared" si="6"/>
        <v>0</v>
      </c>
      <c r="AJ20" s="148">
        <f t="shared" si="6"/>
        <v>0</v>
      </c>
      <c r="AK20" s="148">
        <f t="shared" si="6"/>
        <v>0</v>
      </c>
      <c r="AL20" s="148">
        <f t="shared" si="6"/>
        <v>0</v>
      </c>
      <c r="AM20" s="148">
        <f t="shared" si="6"/>
        <v>0</v>
      </c>
      <c r="AN20" s="148">
        <f t="shared" si="6"/>
        <v>0</v>
      </c>
      <c r="AO20" s="148">
        <f t="shared" si="7"/>
        <v>0</v>
      </c>
      <c r="AP20" s="148">
        <f t="shared" si="7"/>
        <v>0</v>
      </c>
    </row>
    <row r="21" spans="1:63" x14ac:dyDescent="0.3">
      <c r="A21" s="2">
        <f t="shared" si="4"/>
        <v>2032</v>
      </c>
      <c r="B21" s="148">
        <f>'business decision calcs'!D23</f>
        <v>0</v>
      </c>
      <c r="C21" s="148"/>
      <c r="N21" s="148">
        <f>'O&amp;M assumptions'!$O$40*$B21</f>
        <v>0</v>
      </c>
      <c r="O21" s="148">
        <f>$B21*'O&amp;M assumptions'!$O$41</f>
        <v>0</v>
      </c>
      <c r="P21" s="148">
        <f>$B21*'O&amp;M assumptions'!$O$42</f>
        <v>0</v>
      </c>
      <c r="Q21" s="148">
        <f>P21</f>
        <v>0</v>
      </c>
      <c r="R21" s="148">
        <f t="shared" si="6"/>
        <v>0</v>
      </c>
      <c r="S21" s="148">
        <f t="shared" si="6"/>
        <v>0</v>
      </c>
      <c r="T21" s="148">
        <f t="shared" si="6"/>
        <v>0</v>
      </c>
      <c r="U21" s="148">
        <f t="shared" si="6"/>
        <v>0</v>
      </c>
      <c r="V21" s="148">
        <f t="shared" si="6"/>
        <v>0</v>
      </c>
      <c r="W21" s="148">
        <f t="shared" si="6"/>
        <v>0</v>
      </c>
      <c r="X21" s="148">
        <f t="shared" si="6"/>
        <v>0</v>
      </c>
      <c r="Y21" s="148">
        <f t="shared" si="6"/>
        <v>0</v>
      </c>
      <c r="Z21" s="148">
        <f t="shared" si="6"/>
        <v>0</v>
      </c>
      <c r="AA21" s="148">
        <f t="shared" si="6"/>
        <v>0</v>
      </c>
      <c r="AB21" s="148">
        <f t="shared" si="6"/>
        <v>0</v>
      </c>
      <c r="AC21" s="148">
        <f t="shared" si="6"/>
        <v>0</v>
      </c>
      <c r="AD21" s="148">
        <f t="shared" si="6"/>
        <v>0</v>
      </c>
      <c r="AE21" s="148">
        <f t="shared" si="6"/>
        <v>0</v>
      </c>
      <c r="AF21" s="148">
        <f t="shared" si="6"/>
        <v>0</v>
      </c>
      <c r="AG21" s="148">
        <f t="shared" si="6"/>
        <v>0</v>
      </c>
      <c r="AH21" s="148">
        <f t="shared" si="6"/>
        <v>0</v>
      </c>
      <c r="AI21" s="148">
        <f t="shared" si="6"/>
        <v>0</v>
      </c>
      <c r="AJ21" s="148">
        <f t="shared" si="6"/>
        <v>0</v>
      </c>
      <c r="AK21" s="148">
        <f t="shared" si="6"/>
        <v>0</v>
      </c>
      <c r="AL21" s="148">
        <f t="shared" si="6"/>
        <v>0</v>
      </c>
      <c r="AM21" s="148">
        <f t="shared" si="6"/>
        <v>0</v>
      </c>
      <c r="AN21" s="148">
        <f t="shared" si="6"/>
        <v>0</v>
      </c>
      <c r="AO21" s="148">
        <f t="shared" si="7"/>
        <v>0</v>
      </c>
      <c r="AP21" s="148">
        <f t="shared" si="7"/>
        <v>0</v>
      </c>
      <c r="AQ21" s="148">
        <f t="shared" si="7"/>
        <v>0</v>
      </c>
    </row>
    <row r="22" spans="1:63" x14ac:dyDescent="0.3">
      <c r="A22" s="2">
        <f t="shared" si="4"/>
        <v>2033</v>
      </c>
      <c r="B22" s="148">
        <f>'business decision calcs'!D24</f>
        <v>0</v>
      </c>
      <c r="C22" s="148"/>
      <c r="O22" s="148">
        <f>'O&amp;M assumptions'!$O$40*$B22</f>
        <v>0</v>
      </c>
      <c r="P22" s="148">
        <f>$B22*'O&amp;M assumptions'!$O$41</f>
        <v>0</v>
      </c>
      <c r="Q22" s="148">
        <f>$B22*'O&amp;M assumptions'!$O$42</f>
        <v>0</v>
      </c>
      <c r="R22" s="148">
        <f>Q22</f>
        <v>0</v>
      </c>
      <c r="S22" s="148">
        <f t="shared" si="6"/>
        <v>0</v>
      </c>
      <c r="T22" s="148">
        <f t="shared" si="6"/>
        <v>0</v>
      </c>
      <c r="U22" s="148">
        <f t="shared" si="6"/>
        <v>0</v>
      </c>
      <c r="V22" s="148">
        <f t="shared" si="6"/>
        <v>0</v>
      </c>
      <c r="W22" s="148">
        <f t="shared" si="6"/>
        <v>0</v>
      </c>
      <c r="X22" s="148">
        <f t="shared" si="6"/>
        <v>0</v>
      </c>
      <c r="Y22" s="148">
        <f t="shared" si="6"/>
        <v>0</v>
      </c>
      <c r="Z22" s="148">
        <f t="shared" si="6"/>
        <v>0</v>
      </c>
      <c r="AA22" s="148">
        <f t="shared" si="6"/>
        <v>0</v>
      </c>
      <c r="AB22" s="148">
        <f t="shared" si="6"/>
        <v>0</v>
      </c>
      <c r="AC22" s="148">
        <f t="shared" si="6"/>
        <v>0</v>
      </c>
      <c r="AD22" s="148">
        <f t="shared" si="6"/>
        <v>0</v>
      </c>
      <c r="AE22" s="148">
        <f t="shared" si="6"/>
        <v>0</v>
      </c>
      <c r="AF22" s="148">
        <f t="shared" si="6"/>
        <v>0</v>
      </c>
      <c r="AG22" s="148">
        <f t="shared" si="6"/>
        <v>0</v>
      </c>
      <c r="AH22" s="148">
        <f t="shared" si="6"/>
        <v>0</v>
      </c>
      <c r="AI22" s="148">
        <f t="shared" si="6"/>
        <v>0</v>
      </c>
      <c r="AJ22" s="148">
        <f t="shared" si="6"/>
        <v>0</v>
      </c>
      <c r="AK22" s="148">
        <f t="shared" si="6"/>
        <v>0</v>
      </c>
      <c r="AL22" s="148">
        <f t="shared" si="6"/>
        <v>0</v>
      </c>
      <c r="AM22" s="148">
        <f t="shared" si="6"/>
        <v>0</v>
      </c>
      <c r="AN22" s="148">
        <f t="shared" si="6"/>
        <v>0</v>
      </c>
      <c r="AO22" s="148">
        <f t="shared" si="7"/>
        <v>0</v>
      </c>
      <c r="AP22" s="148">
        <f t="shared" si="7"/>
        <v>0</v>
      </c>
      <c r="AQ22" s="148">
        <f t="shared" si="7"/>
        <v>0</v>
      </c>
      <c r="AR22" s="148">
        <f t="shared" si="7"/>
        <v>0</v>
      </c>
    </row>
    <row r="23" spans="1:63" x14ac:dyDescent="0.3">
      <c r="A23" s="2">
        <f t="shared" si="4"/>
        <v>2034</v>
      </c>
      <c r="B23" s="148">
        <f>'business decision calcs'!D25</f>
        <v>0</v>
      </c>
      <c r="C23" s="148"/>
      <c r="P23" s="148">
        <f>'O&amp;M assumptions'!$O$40*$B23</f>
        <v>0</v>
      </c>
      <c r="Q23" s="148">
        <f>$B23*'O&amp;M assumptions'!$O$41</f>
        <v>0</v>
      </c>
      <c r="R23" s="148">
        <f>$B23*'O&amp;M assumptions'!$O$42</f>
        <v>0</v>
      </c>
      <c r="S23" s="148">
        <f>R23</f>
        <v>0</v>
      </c>
      <c r="T23" s="148">
        <f t="shared" si="6"/>
        <v>0</v>
      </c>
      <c r="U23" s="148">
        <f t="shared" si="6"/>
        <v>0</v>
      </c>
      <c r="V23" s="148">
        <f t="shared" si="6"/>
        <v>0</v>
      </c>
      <c r="W23" s="148">
        <f t="shared" si="6"/>
        <v>0</v>
      </c>
      <c r="X23" s="148">
        <f t="shared" si="6"/>
        <v>0</v>
      </c>
      <c r="Y23" s="148">
        <f t="shared" si="6"/>
        <v>0</v>
      </c>
      <c r="Z23" s="148">
        <f t="shared" si="6"/>
        <v>0</v>
      </c>
      <c r="AA23" s="148">
        <f t="shared" si="6"/>
        <v>0</v>
      </c>
      <c r="AB23" s="148">
        <f t="shared" si="6"/>
        <v>0</v>
      </c>
      <c r="AC23" s="148">
        <f t="shared" si="6"/>
        <v>0</v>
      </c>
      <c r="AD23" s="148">
        <f t="shared" si="6"/>
        <v>0</v>
      </c>
      <c r="AE23" s="148">
        <f t="shared" si="6"/>
        <v>0</v>
      </c>
      <c r="AF23" s="148">
        <f t="shared" si="6"/>
        <v>0</v>
      </c>
      <c r="AG23" s="148">
        <f t="shared" si="6"/>
        <v>0</v>
      </c>
      <c r="AH23" s="148">
        <f t="shared" si="6"/>
        <v>0</v>
      </c>
      <c r="AI23" s="148">
        <f t="shared" si="6"/>
        <v>0</v>
      </c>
      <c r="AJ23" s="148">
        <f t="shared" si="6"/>
        <v>0</v>
      </c>
      <c r="AK23" s="148">
        <f t="shared" si="6"/>
        <v>0</v>
      </c>
      <c r="AL23" s="148">
        <f t="shared" si="6"/>
        <v>0</v>
      </c>
      <c r="AM23" s="148">
        <f t="shared" si="6"/>
        <v>0</v>
      </c>
      <c r="AN23" s="148">
        <f t="shared" si="6"/>
        <v>0</v>
      </c>
      <c r="AO23" s="148">
        <f t="shared" si="7"/>
        <v>0</v>
      </c>
      <c r="AP23" s="148">
        <f t="shared" si="7"/>
        <v>0</v>
      </c>
      <c r="AQ23" s="148">
        <f t="shared" si="7"/>
        <v>0</v>
      </c>
      <c r="AR23" s="148">
        <f t="shared" si="7"/>
        <v>0</v>
      </c>
      <c r="AS23" s="148">
        <f t="shared" si="7"/>
        <v>0</v>
      </c>
    </row>
    <row r="24" spans="1:63" x14ac:dyDescent="0.3">
      <c r="A24" s="2">
        <f t="shared" si="4"/>
        <v>2035</v>
      </c>
      <c r="B24" s="148">
        <f>'business decision calcs'!D26</f>
        <v>0</v>
      </c>
      <c r="C24" s="148"/>
      <c r="Q24" s="148">
        <f>'O&amp;M assumptions'!$O$40*$B24</f>
        <v>0</v>
      </c>
      <c r="R24" s="148">
        <f>$B24*'O&amp;M assumptions'!$O$41</f>
        <v>0</v>
      </c>
      <c r="S24" s="148">
        <f>$B24*'O&amp;M assumptions'!$O$42</f>
        <v>0</v>
      </c>
      <c r="T24" s="148">
        <f>S24</f>
        <v>0</v>
      </c>
      <c r="U24" s="148">
        <f t="shared" si="6"/>
        <v>0</v>
      </c>
      <c r="V24" s="148">
        <f t="shared" si="6"/>
        <v>0</v>
      </c>
      <c r="W24" s="148">
        <f t="shared" si="6"/>
        <v>0</v>
      </c>
      <c r="X24" s="148">
        <f t="shared" si="6"/>
        <v>0</v>
      </c>
      <c r="Y24" s="148">
        <f t="shared" si="6"/>
        <v>0</v>
      </c>
      <c r="Z24" s="148">
        <f t="shared" si="6"/>
        <v>0</v>
      </c>
      <c r="AA24" s="148">
        <f t="shared" si="6"/>
        <v>0</v>
      </c>
      <c r="AB24" s="148">
        <f t="shared" si="6"/>
        <v>0</v>
      </c>
      <c r="AC24" s="148">
        <f t="shared" si="6"/>
        <v>0</v>
      </c>
      <c r="AD24" s="148">
        <f t="shared" si="6"/>
        <v>0</v>
      </c>
      <c r="AE24" s="148">
        <f t="shared" si="6"/>
        <v>0</v>
      </c>
      <c r="AF24" s="148">
        <f t="shared" si="6"/>
        <v>0</v>
      </c>
      <c r="AG24" s="148">
        <f t="shared" si="6"/>
        <v>0</v>
      </c>
      <c r="AH24" s="148">
        <f t="shared" si="6"/>
        <v>0</v>
      </c>
      <c r="AI24" s="148">
        <f t="shared" si="6"/>
        <v>0</v>
      </c>
      <c r="AJ24" s="148">
        <f t="shared" si="6"/>
        <v>0</v>
      </c>
      <c r="AK24" s="148">
        <f t="shared" si="6"/>
        <v>0</v>
      </c>
      <c r="AL24" s="148">
        <f t="shared" si="6"/>
        <v>0</v>
      </c>
      <c r="AM24" s="148">
        <f t="shared" si="6"/>
        <v>0</v>
      </c>
      <c r="AN24" s="148">
        <f t="shared" si="6"/>
        <v>0</v>
      </c>
      <c r="AO24" s="148">
        <f t="shared" si="7"/>
        <v>0</v>
      </c>
      <c r="AP24" s="148">
        <f t="shared" si="7"/>
        <v>0</v>
      </c>
      <c r="AQ24" s="148">
        <f t="shared" si="7"/>
        <v>0</v>
      </c>
      <c r="AR24" s="148">
        <f t="shared" si="7"/>
        <v>0</v>
      </c>
      <c r="AS24" s="148">
        <f t="shared" si="7"/>
        <v>0</v>
      </c>
      <c r="AT24" s="148">
        <f t="shared" si="7"/>
        <v>0</v>
      </c>
    </row>
    <row r="25" spans="1:63" x14ac:dyDescent="0.3">
      <c r="A25" s="2">
        <f t="shared" si="4"/>
        <v>2036</v>
      </c>
      <c r="B25" s="148">
        <f>'business decision calcs'!D27</f>
        <v>0</v>
      </c>
      <c r="C25" s="148"/>
      <c r="R25" s="148">
        <f>'O&amp;M assumptions'!$O$40*$B25</f>
        <v>0</v>
      </c>
      <c r="S25" s="148">
        <f>$B25*'O&amp;M assumptions'!$O$41</f>
        <v>0</v>
      </c>
      <c r="T25" s="148">
        <f>$B25*'O&amp;M assumptions'!$O$42</f>
        <v>0</v>
      </c>
      <c r="U25" s="148">
        <f>T25</f>
        <v>0</v>
      </c>
      <c r="V25" s="148">
        <f t="shared" si="6"/>
        <v>0</v>
      </c>
      <c r="W25" s="148">
        <f t="shared" si="6"/>
        <v>0</v>
      </c>
      <c r="X25" s="148">
        <f t="shared" si="6"/>
        <v>0</v>
      </c>
      <c r="Y25" s="148">
        <f t="shared" si="6"/>
        <v>0</v>
      </c>
      <c r="Z25" s="148">
        <f t="shared" si="6"/>
        <v>0</v>
      </c>
      <c r="AA25" s="148">
        <f t="shared" si="6"/>
        <v>0</v>
      </c>
      <c r="AB25" s="148">
        <f t="shared" si="6"/>
        <v>0</v>
      </c>
      <c r="AC25" s="148">
        <f t="shared" si="6"/>
        <v>0</v>
      </c>
      <c r="AD25" s="148">
        <f t="shared" si="6"/>
        <v>0</v>
      </c>
      <c r="AE25" s="148">
        <f t="shared" si="6"/>
        <v>0</v>
      </c>
      <c r="AF25" s="148">
        <f t="shared" si="6"/>
        <v>0</v>
      </c>
      <c r="AG25" s="148">
        <f t="shared" si="6"/>
        <v>0</v>
      </c>
      <c r="AH25" s="148">
        <f t="shared" si="6"/>
        <v>0</v>
      </c>
      <c r="AI25" s="148">
        <f t="shared" si="6"/>
        <v>0</v>
      </c>
      <c r="AJ25" s="148">
        <f t="shared" si="6"/>
        <v>0</v>
      </c>
      <c r="AK25" s="148">
        <f t="shared" si="6"/>
        <v>0</v>
      </c>
      <c r="AL25" s="148">
        <f t="shared" si="6"/>
        <v>0</v>
      </c>
      <c r="AM25" s="148">
        <f t="shared" si="6"/>
        <v>0</v>
      </c>
      <c r="AN25" s="148">
        <f t="shared" si="6"/>
        <v>0</v>
      </c>
      <c r="AO25" s="148">
        <f t="shared" si="7"/>
        <v>0</v>
      </c>
      <c r="AP25" s="148">
        <f t="shared" si="7"/>
        <v>0</v>
      </c>
      <c r="AQ25" s="148">
        <f t="shared" si="7"/>
        <v>0</v>
      </c>
      <c r="AR25" s="148">
        <f t="shared" si="7"/>
        <v>0</v>
      </c>
      <c r="AS25" s="148">
        <f t="shared" si="7"/>
        <v>0</v>
      </c>
      <c r="AT25" s="148">
        <f t="shared" si="7"/>
        <v>0</v>
      </c>
      <c r="AU25" s="148">
        <f t="shared" si="7"/>
        <v>0</v>
      </c>
    </row>
    <row r="26" spans="1:63" x14ac:dyDescent="0.3">
      <c r="A26" s="2">
        <f t="shared" si="4"/>
        <v>2037</v>
      </c>
      <c r="B26" s="148">
        <f>'business decision calcs'!D28</f>
        <v>0</v>
      </c>
      <c r="C26" s="148"/>
      <c r="S26" s="148">
        <f>'O&amp;M assumptions'!$O$40*$B26</f>
        <v>0</v>
      </c>
      <c r="T26" s="148">
        <f>$B26*'O&amp;M assumptions'!$O$41</f>
        <v>0</v>
      </c>
      <c r="U26" s="148">
        <f>$B26*'O&amp;M assumptions'!$O$42</f>
        <v>0</v>
      </c>
      <c r="V26" s="148">
        <f>U26</f>
        <v>0</v>
      </c>
      <c r="W26" s="148">
        <f t="shared" si="6"/>
        <v>0</v>
      </c>
      <c r="X26" s="148">
        <f t="shared" si="6"/>
        <v>0</v>
      </c>
      <c r="Y26" s="148">
        <f t="shared" si="6"/>
        <v>0</v>
      </c>
      <c r="Z26" s="148">
        <f t="shared" si="6"/>
        <v>0</v>
      </c>
      <c r="AA26" s="148">
        <f t="shared" si="6"/>
        <v>0</v>
      </c>
      <c r="AB26" s="148">
        <f t="shared" si="6"/>
        <v>0</v>
      </c>
      <c r="AC26" s="148">
        <f t="shared" si="6"/>
        <v>0</v>
      </c>
      <c r="AD26" s="148">
        <f t="shared" si="6"/>
        <v>0</v>
      </c>
      <c r="AE26" s="148">
        <f t="shared" si="6"/>
        <v>0</v>
      </c>
      <c r="AF26" s="148">
        <f t="shared" si="6"/>
        <v>0</v>
      </c>
      <c r="AG26" s="148">
        <f t="shared" si="6"/>
        <v>0</v>
      </c>
      <c r="AH26" s="148">
        <f t="shared" si="6"/>
        <v>0</v>
      </c>
      <c r="AI26" s="148">
        <f t="shared" si="6"/>
        <v>0</v>
      </c>
      <c r="AJ26" s="148">
        <f t="shared" si="6"/>
        <v>0</v>
      </c>
      <c r="AK26" s="148">
        <f t="shared" si="6"/>
        <v>0</v>
      </c>
      <c r="AL26" s="148">
        <f t="shared" si="6"/>
        <v>0</v>
      </c>
      <c r="AM26" s="148">
        <f t="shared" si="6"/>
        <v>0</v>
      </c>
      <c r="AN26" s="148">
        <f t="shared" si="6"/>
        <v>0</v>
      </c>
      <c r="AO26" s="148">
        <f t="shared" si="7"/>
        <v>0</v>
      </c>
      <c r="AP26" s="148">
        <f t="shared" si="7"/>
        <v>0</v>
      </c>
      <c r="AQ26" s="148">
        <f t="shared" si="7"/>
        <v>0</v>
      </c>
      <c r="AR26" s="148">
        <f t="shared" si="7"/>
        <v>0</v>
      </c>
      <c r="AS26" s="148">
        <f t="shared" si="7"/>
        <v>0</v>
      </c>
      <c r="AT26" s="148">
        <f t="shared" si="7"/>
        <v>0</v>
      </c>
      <c r="AU26" s="148">
        <f t="shared" si="7"/>
        <v>0</v>
      </c>
      <c r="AV26" s="148">
        <f t="shared" si="7"/>
        <v>0</v>
      </c>
    </row>
    <row r="27" spans="1:63" x14ac:dyDescent="0.3">
      <c r="A27" s="2">
        <f t="shared" si="4"/>
        <v>2038</v>
      </c>
      <c r="B27" s="148">
        <f>'business decision calcs'!D29</f>
        <v>0</v>
      </c>
      <c r="C27" s="148"/>
      <c r="T27" s="148">
        <f>'O&amp;M assumptions'!$O$40*$B27</f>
        <v>0</v>
      </c>
      <c r="U27" s="148">
        <f>$B27*'O&amp;M assumptions'!$O$41</f>
        <v>0</v>
      </c>
      <c r="V27" s="148">
        <f>$B27*'O&amp;M assumptions'!$O$42</f>
        <v>0</v>
      </c>
      <c r="W27" s="148">
        <f>V27</f>
        <v>0</v>
      </c>
      <c r="X27" s="148">
        <f t="shared" si="6"/>
        <v>0</v>
      </c>
      <c r="Y27" s="148">
        <f t="shared" si="6"/>
        <v>0</v>
      </c>
      <c r="Z27" s="148">
        <f t="shared" si="6"/>
        <v>0</v>
      </c>
      <c r="AA27" s="148">
        <f t="shared" si="6"/>
        <v>0</v>
      </c>
      <c r="AB27" s="148">
        <f t="shared" si="6"/>
        <v>0</v>
      </c>
      <c r="AC27" s="148">
        <f t="shared" si="6"/>
        <v>0</v>
      </c>
      <c r="AD27" s="148">
        <f t="shared" si="6"/>
        <v>0</v>
      </c>
      <c r="AE27" s="148">
        <f t="shared" si="6"/>
        <v>0</v>
      </c>
      <c r="AF27" s="148">
        <f t="shared" si="6"/>
        <v>0</v>
      </c>
      <c r="AG27" s="148">
        <f t="shared" si="6"/>
        <v>0</v>
      </c>
      <c r="AH27" s="148">
        <f t="shared" si="6"/>
        <v>0</v>
      </c>
      <c r="AI27" s="148">
        <f t="shared" si="6"/>
        <v>0</v>
      </c>
      <c r="AJ27" s="148">
        <f t="shared" si="6"/>
        <v>0</v>
      </c>
      <c r="AK27" s="148">
        <f t="shared" si="6"/>
        <v>0</v>
      </c>
      <c r="AL27" s="148">
        <f t="shared" si="6"/>
        <v>0</v>
      </c>
      <c r="AM27" s="148">
        <f t="shared" si="6"/>
        <v>0</v>
      </c>
      <c r="AN27" s="148">
        <f t="shared" si="6"/>
        <v>0</v>
      </c>
      <c r="AO27" s="148">
        <f t="shared" si="7"/>
        <v>0</v>
      </c>
      <c r="AP27" s="148">
        <f t="shared" si="7"/>
        <v>0</v>
      </c>
      <c r="AQ27" s="148">
        <f t="shared" si="7"/>
        <v>0</v>
      </c>
      <c r="AR27" s="148">
        <f t="shared" si="7"/>
        <v>0</v>
      </c>
      <c r="AS27" s="148">
        <f t="shared" si="7"/>
        <v>0</v>
      </c>
      <c r="AT27" s="148">
        <f t="shared" si="7"/>
        <v>0</v>
      </c>
      <c r="AU27" s="148">
        <f t="shared" si="7"/>
        <v>0</v>
      </c>
      <c r="AV27" s="148">
        <f t="shared" si="7"/>
        <v>0</v>
      </c>
      <c r="AW27" s="148">
        <f t="shared" si="7"/>
        <v>0</v>
      </c>
    </row>
    <row r="28" spans="1:63" x14ac:dyDescent="0.3">
      <c r="A28" s="2">
        <f t="shared" si="4"/>
        <v>2039</v>
      </c>
      <c r="B28" s="148">
        <f>'business decision calcs'!D30</f>
        <v>0</v>
      </c>
      <c r="C28" s="148"/>
      <c r="U28" s="148">
        <f>'O&amp;M assumptions'!$O$40*$B28</f>
        <v>0</v>
      </c>
      <c r="V28" s="148">
        <f>$B28*'O&amp;M assumptions'!$O$41</f>
        <v>0</v>
      </c>
      <c r="W28" s="148">
        <f>$B28*'O&amp;M assumptions'!$O$42</f>
        <v>0</v>
      </c>
      <c r="X28" s="148">
        <f>W28</f>
        <v>0</v>
      </c>
      <c r="Y28" s="148">
        <f t="shared" si="6"/>
        <v>0</v>
      </c>
      <c r="Z28" s="148">
        <f t="shared" si="6"/>
        <v>0</v>
      </c>
      <c r="AA28" s="148">
        <f t="shared" si="6"/>
        <v>0</v>
      </c>
      <c r="AB28" s="148">
        <f t="shared" si="6"/>
        <v>0</v>
      </c>
      <c r="AC28" s="148">
        <f t="shared" si="6"/>
        <v>0</v>
      </c>
      <c r="AD28" s="148">
        <f t="shared" si="6"/>
        <v>0</v>
      </c>
      <c r="AE28" s="148">
        <f t="shared" si="6"/>
        <v>0</v>
      </c>
      <c r="AF28" s="148">
        <f t="shared" si="6"/>
        <v>0</v>
      </c>
      <c r="AG28" s="148">
        <f t="shared" si="6"/>
        <v>0</v>
      </c>
      <c r="AH28" s="148">
        <f t="shared" si="6"/>
        <v>0</v>
      </c>
      <c r="AI28" s="148">
        <f t="shared" si="6"/>
        <v>0</v>
      </c>
      <c r="AJ28" s="148">
        <f t="shared" si="6"/>
        <v>0</v>
      </c>
      <c r="AK28" s="148">
        <f t="shared" si="6"/>
        <v>0</v>
      </c>
      <c r="AL28" s="148">
        <f t="shared" si="6"/>
        <v>0</v>
      </c>
      <c r="AM28" s="148">
        <f t="shared" ref="AM28:AX28" si="8">AL28</f>
        <v>0</v>
      </c>
      <c r="AN28" s="148">
        <f t="shared" si="8"/>
        <v>0</v>
      </c>
      <c r="AO28" s="148">
        <f t="shared" si="8"/>
        <v>0</v>
      </c>
      <c r="AP28" s="148">
        <f t="shared" si="8"/>
        <v>0</v>
      </c>
      <c r="AQ28" s="148">
        <f t="shared" si="8"/>
        <v>0</v>
      </c>
      <c r="AR28" s="148">
        <f t="shared" si="8"/>
        <v>0</v>
      </c>
      <c r="AS28" s="148">
        <f t="shared" si="8"/>
        <v>0</v>
      </c>
      <c r="AT28" s="148">
        <f t="shared" si="8"/>
        <v>0</v>
      </c>
      <c r="AU28" s="148">
        <f t="shared" si="8"/>
        <v>0</v>
      </c>
      <c r="AV28" s="148">
        <f t="shared" si="8"/>
        <v>0</v>
      </c>
      <c r="AW28" s="148">
        <f t="shared" si="8"/>
        <v>0</v>
      </c>
      <c r="AX28" s="148">
        <f t="shared" si="8"/>
        <v>0</v>
      </c>
    </row>
    <row r="29" spans="1:63" x14ac:dyDescent="0.3">
      <c r="A29" s="2">
        <f t="shared" si="4"/>
        <v>2040</v>
      </c>
      <c r="B29" s="148">
        <f>'business decision calcs'!D31</f>
        <v>0</v>
      </c>
      <c r="C29" s="148"/>
      <c r="V29" s="148">
        <f>'O&amp;M assumptions'!$O$40*$B29</f>
        <v>0</v>
      </c>
      <c r="W29" s="148">
        <f>$B29*'O&amp;M assumptions'!$O$41</f>
        <v>0</v>
      </c>
      <c r="X29" s="148">
        <f>$B29*'O&amp;M assumptions'!$O$42</f>
        <v>0</v>
      </c>
      <c r="Y29" s="148">
        <f>X29</f>
        <v>0</v>
      </c>
      <c r="Z29" s="148">
        <f t="shared" ref="Z29:AY40" si="9">Y29</f>
        <v>0</v>
      </c>
      <c r="AA29" s="148">
        <f t="shared" si="9"/>
        <v>0</v>
      </c>
      <c r="AB29" s="148">
        <f t="shared" si="9"/>
        <v>0</v>
      </c>
      <c r="AC29" s="148">
        <f t="shared" si="9"/>
        <v>0</v>
      </c>
      <c r="AD29" s="148">
        <f t="shared" si="9"/>
        <v>0</v>
      </c>
      <c r="AE29" s="148">
        <f t="shared" si="9"/>
        <v>0</v>
      </c>
      <c r="AF29" s="148">
        <f t="shared" si="9"/>
        <v>0</v>
      </c>
      <c r="AG29" s="148">
        <f t="shared" si="9"/>
        <v>0</v>
      </c>
      <c r="AH29" s="148">
        <f t="shared" si="9"/>
        <v>0</v>
      </c>
      <c r="AI29" s="148">
        <f t="shared" si="9"/>
        <v>0</v>
      </c>
      <c r="AJ29" s="148">
        <f t="shared" si="9"/>
        <v>0</v>
      </c>
      <c r="AK29" s="148">
        <f t="shared" si="9"/>
        <v>0</v>
      </c>
      <c r="AL29" s="148">
        <f t="shared" si="9"/>
        <v>0</v>
      </c>
      <c r="AM29" s="148">
        <f t="shared" si="9"/>
        <v>0</v>
      </c>
      <c r="AN29" s="148">
        <f t="shared" si="9"/>
        <v>0</v>
      </c>
      <c r="AO29" s="148">
        <f t="shared" si="9"/>
        <v>0</v>
      </c>
      <c r="AP29" s="148">
        <f t="shared" si="9"/>
        <v>0</v>
      </c>
      <c r="AQ29" s="148">
        <f t="shared" si="9"/>
        <v>0</v>
      </c>
      <c r="AR29" s="148">
        <f t="shared" si="9"/>
        <v>0</v>
      </c>
      <c r="AS29" s="148">
        <f t="shared" si="9"/>
        <v>0</v>
      </c>
      <c r="AT29" s="148">
        <f t="shared" si="9"/>
        <v>0</v>
      </c>
      <c r="AU29" s="148">
        <f t="shared" si="9"/>
        <v>0</v>
      </c>
      <c r="AV29" s="148">
        <f t="shared" si="9"/>
        <v>0</v>
      </c>
      <c r="AW29" s="148">
        <f t="shared" si="9"/>
        <v>0</v>
      </c>
      <c r="AX29" s="148">
        <f t="shared" si="9"/>
        <v>0</v>
      </c>
      <c r="AY29" s="148">
        <f t="shared" si="9"/>
        <v>0</v>
      </c>
    </row>
    <row r="30" spans="1:63" x14ac:dyDescent="0.3">
      <c r="A30" s="2">
        <f t="shared" si="4"/>
        <v>2041</v>
      </c>
      <c r="B30" s="148">
        <f>'business decision calcs'!D32</f>
        <v>0</v>
      </c>
      <c r="C30" s="148"/>
      <c r="W30" s="148">
        <f>'O&amp;M assumptions'!$O$40*$B30</f>
        <v>0</v>
      </c>
      <c r="X30" s="148">
        <f>$B30*'O&amp;M assumptions'!$O$41</f>
        <v>0</v>
      </c>
      <c r="Y30" s="148">
        <f>$B30*'O&amp;M assumptions'!$O$42</f>
        <v>0</v>
      </c>
      <c r="Z30" s="148">
        <f>Y30</f>
        <v>0</v>
      </c>
      <c r="AA30" s="148">
        <f t="shared" si="9"/>
        <v>0</v>
      </c>
      <c r="AB30" s="148">
        <f t="shared" si="9"/>
        <v>0</v>
      </c>
      <c r="AC30" s="148">
        <f t="shared" si="9"/>
        <v>0</v>
      </c>
      <c r="AD30" s="148">
        <f t="shared" si="9"/>
        <v>0</v>
      </c>
      <c r="AE30" s="148">
        <f t="shared" si="9"/>
        <v>0</v>
      </c>
      <c r="AF30" s="148">
        <f t="shared" si="9"/>
        <v>0</v>
      </c>
      <c r="AG30" s="148">
        <f t="shared" si="9"/>
        <v>0</v>
      </c>
      <c r="AH30" s="148">
        <f t="shared" si="9"/>
        <v>0</v>
      </c>
      <c r="AI30" s="148">
        <f t="shared" si="9"/>
        <v>0</v>
      </c>
      <c r="AJ30" s="148">
        <f t="shared" si="9"/>
        <v>0</v>
      </c>
      <c r="AK30" s="148">
        <f t="shared" si="9"/>
        <v>0</v>
      </c>
      <c r="AL30" s="148">
        <f t="shared" si="9"/>
        <v>0</v>
      </c>
      <c r="AM30" s="148">
        <f t="shared" si="9"/>
        <v>0</v>
      </c>
      <c r="AN30" s="148">
        <f t="shared" si="9"/>
        <v>0</v>
      </c>
      <c r="AO30" s="148">
        <f t="shared" si="9"/>
        <v>0</v>
      </c>
      <c r="AP30" s="148">
        <f t="shared" si="9"/>
        <v>0</v>
      </c>
      <c r="AQ30" s="148">
        <f t="shared" si="9"/>
        <v>0</v>
      </c>
      <c r="AR30" s="148">
        <f t="shared" si="9"/>
        <v>0</v>
      </c>
      <c r="AS30" s="148">
        <f t="shared" si="9"/>
        <v>0</v>
      </c>
      <c r="AT30" s="148">
        <f t="shared" si="9"/>
        <v>0</v>
      </c>
      <c r="AU30" s="148">
        <f t="shared" si="9"/>
        <v>0</v>
      </c>
      <c r="AV30" s="148">
        <f t="shared" si="9"/>
        <v>0</v>
      </c>
      <c r="AW30" s="148">
        <f t="shared" si="9"/>
        <v>0</v>
      </c>
      <c r="AX30" s="148">
        <f t="shared" si="9"/>
        <v>0</v>
      </c>
      <c r="AY30" s="148">
        <f t="shared" si="9"/>
        <v>0</v>
      </c>
      <c r="AZ30" s="148">
        <f t="shared" ref="AZ30:BJ40" si="10">AY30</f>
        <v>0</v>
      </c>
    </row>
    <row r="31" spans="1:63" x14ac:dyDescent="0.3">
      <c r="A31" s="2">
        <f t="shared" si="4"/>
        <v>2042</v>
      </c>
      <c r="B31" s="148">
        <f>'business decision calcs'!D33</f>
        <v>0</v>
      </c>
      <c r="C31" s="148"/>
      <c r="X31" s="148">
        <f>'O&amp;M assumptions'!$O$40*$B31</f>
        <v>0</v>
      </c>
      <c r="Y31" s="148">
        <f>$B31*'O&amp;M assumptions'!$O$41</f>
        <v>0</v>
      </c>
      <c r="Z31" s="148">
        <f>$B31*'O&amp;M assumptions'!$O$42</f>
        <v>0</v>
      </c>
      <c r="AA31" s="148">
        <f>Z31</f>
        <v>0</v>
      </c>
      <c r="AB31" s="148">
        <f t="shared" si="9"/>
        <v>0</v>
      </c>
      <c r="AC31" s="148">
        <f t="shared" si="9"/>
        <v>0</v>
      </c>
      <c r="AD31" s="148">
        <f t="shared" si="9"/>
        <v>0</v>
      </c>
      <c r="AE31" s="148">
        <f t="shared" si="9"/>
        <v>0</v>
      </c>
      <c r="AF31" s="148">
        <f t="shared" si="9"/>
        <v>0</v>
      </c>
      <c r="AG31" s="148">
        <f t="shared" si="9"/>
        <v>0</v>
      </c>
      <c r="AH31" s="148">
        <f t="shared" si="9"/>
        <v>0</v>
      </c>
      <c r="AI31" s="148">
        <f t="shared" si="9"/>
        <v>0</v>
      </c>
      <c r="AJ31" s="148">
        <f t="shared" si="9"/>
        <v>0</v>
      </c>
      <c r="AK31" s="148">
        <f t="shared" si="9"/>
        <v>0</v>
      </c>
      <c r="AL31" s="148">
        <f t="shared" si="9"/>
        <v>0</v>
      </c>
      <c r="AM31" s="148">
        <f t="shared" si="9"/>
        <v>0</v>
      </c>
      <c r="AN31" s="148">
        <f t="shared" si="9"/>
        <v>0</v>
      </c>
      <c r="AO31" s="148">
        <f t="shared" si="9"/>
        <v>0</v>
      </c>
      <c r="AP31" s="148">
        <f t="shared" si="9"/>
        <v>0</v>
      </c>
      <c r="AQ31" s="148">
        <f t="shared" si="9"/>
        <v>0</v>
      </c>
      <c r="AR31" s="148">
        <f t="shared" si="9"/>
        <v>0</v>
      </c>
      <c r="AS31" s="148">
        <f t="shared" si="9"/>
        <v>0</v>
      </c>
      <c r="AT31" s="148">
        <f t="shared" si="9"/>
        <v>0</v>
      </c>
      <c r="AU31" s="148">
        <f t="shared" si="9"/>
        <v>0</v>
      </c>
      <c r="AV31" s="148">
        <f t="shared" si="9"/>
        <v>0</v>
      </c>
      <c r="AW31" s="148">
        <f t="shared" si="9"/>
        <v>0</v>
      </c>
      <c r="AX31" s="148">
        <f t="shared" si="9"/>
        <v>0</v>
      </c>
      <c r="AY31" s="148">
        <f t="shared" si="9"/>
        <v>0</v>
      </c>
      <c r="AZ31" s="148">
        <f t="shared" si="10"/>
        <v>0</v>
      </c>
      <c r="BA31" s="148">
        <f t="shared" si="10"/>
        <v>0</v>
      </c>
    </row>
    <row r="32" spans="1:63" x14ac:dyDescent="0.3">
      <c r="A32" s="2">
        <f t="shared" si="4"/>
        <v>2043</v>
      </c>
      <c r="B32" s="148">
        <f>'business decision calcs'!D34</f>
        <v>0</v>
      </c>
      <c r="C32" s="148"/>
      <c r="Y32" s="148">
        <f>'O&amp;M assumptions'!$O$40*$B32</f>
        <v>0</v>
      </c>
      <c r="Z32" s="148">
        <f>$B32*'O&amp;M assumptions'!$O$41</f>
        <v>0</v>
      </c>
      <c r="AA32" s="148">
        <f>$B32*'O&amp;M assumptions'!$O$42</f>
        <v>0</v>
      </c>
      <c r="AB32" s="148">
        <f>AA32</f>
        <v>0</v>
      </c>
      <c r="AC32" s="148">
        <f t="shared" si="9"/>
        <v>0</v>
      </c>
      <c r="AD32" s="148">
        <f t="shared" si="9"/>
        <v>0</v>
      </c>
      <c r="AE32" s="148">
        <f t="shared" si="9"/>
        <v>0</v>
      </c>
      <c r="AF32" s="148">
        <f t="shared" si="9"/>
        <v>0</v>
      </c>
      <c r="AG32" s="148">
        <f t="shared" si="9"/>
        <v>0</v>
      </c>
      <c r="AH32" s="148">
        <f t="shared" si="9"/>
        <v>0</v>
      </c>
      <c r="AI32" s="148">
        <f t="shared" si="9"/>
        <v>0</v>
      </c>
      <c r="AJ32" s="148">
        <f t="shared" si="9"/>
        <v>0</v>
      </c>
      <c r="AK32" s="148">
        <f t="shared" si="9"/>
        <v>0</v>
      </c>
      <c r="AL32" s="148">
        <f t="shared" si="9"/>
        <v>0</v>
      </c>
      <c r="AM32" s="148">
        <f t="shared" si="9"/>
        <v>0</v>
      </c>
      <c r="AN32" s="148">
        <f t="shared" si="9"/>
        <v>0</v>
      </c>
      <c r="AO32" s="148">
        <f t="shared" si="9"/>
        <v>0</v>
      </c>
      <c r="AP32" s="148">
        <f t="shared" si="9"/>
        <v>0</v>
      </c>
      <c r="AQ32" s="148">
        <f t="shared" si="9"/>
        <v>0</v>
      </c>
      <c r="AR32" s="148">
        <f t="shared" si="9"/>
        <v>0</v>
      </c>
      <c r="AS32" s="148">
        <f t="shared" si="9"/>
        <v>0</v>
      </c>
      <c r="AT32" s="148">
        <f t="shared" si="9"/>
        <v>0</v>
      </c>
      <c r="AU32" s="148">
        <f t="shared" si="9"/>
        <v>0</v>
      </c>
      <c r="AV32" s="148">
        <f t="shared" si="9"/>
        <v>0</v>
      </c>
      <c r="AW32" s="148">
        <f t="shared" si="9"/>
        <v>0</v>
      </c>
      <c r="AX32" s="148">
        <f t="shared" si="9"/>
        <v>0</v>
      </c>
      <c r="AY32" s="148">
        <f t="shared" si="9"/>
        <v>0</v>
      </c>
      <c r="AZ32" s="148">
        <f t="shared" si="10"/>
        <v>0</v>
      </c>
      <c r="BA32" s="148">
        <f t="shared" si="10"/>
        <v>0</v>
      </c>
      <c r="BB32" s="148">
        <f t="shared" si="10"/>
        <v>0</v>
      </c>
      <c r="BK32" s="148"/>
    </row>
    <row r="33" spans="1:62" x14ac:dyDescent="0.3">
      <c r="A33" s="2">
        <f t="shared" si="4"/>
        <v>2044</v>
      </c>
      <c r="B33" s="148">
        <f>'business decision calcs'!D35</f>
        <v>0</v>
      </c>
      <c r="C33" s="148"/>
      <c r="Z33" s="148">
        <f>'O&amp;M assumptions'!$O$40*$B33</f>
        <v>0</v>
      </c>
      <c r="AA33" s="148">
        <f>$B33*'O&amp;M assumptions'!$O$41</f>
        <v>0</v>
      </c>
      <c r="AB33" s="148">
        <f>$B33*'O&amp;M assumptions'!$O$42</f>
        <v>0</v>
      </c>
      <c r="AC33" s="148">
        <f>AB33</f>
        <v>0</v>
      </c>
      <c r="AD33" s="148">
        <f t="shared" si="9"/>
        <v>0</v>
      </c>
      <c r="AE33" s="148">
        <f t="shared" si="9"/>
        <v>0</v>
      </c>
      <c r="AF33" s="148">
        <f t="shared" si="9"/>
        <v>0</v>
      </c>
      <c r="AG33" s="148">
        <f t="shared" si="9"/>
        <v>0</v>
      </c>
      <c r="AH33" s="148">
        <f t="shared" si="9"/>
        <v>0</v>
      </c>
      <c r="AI33" s="148">
        <f t="shared" si="9"/>
        <v>0</v>
      </c>
      <c r="AJ33" s="148">
        <f t="shared" si="9"/>
        <v>0</v>
      </c>
      <c r="AK33" s="148">
        <f t="shared" si="9"/>
        <v>0</v>
      </c>
      <c r="AL33" s="148">
        <f t="shared" si="9"/>
        <v>0</v>
      </c>
      <c r="AM33" s="148">
        <f t="shared" si="9"/>
        <v>0</v>
      </c>
      <c r="AN33" s="148">
        <f t="shared" si="9"/>
        <v>0</v>
      </c>
      <c r="AO33" s="148">
        <f t="shared" si="9"/>
        <v>0</v>
      </c>
      <c r="AP33" s="148">
        <f t="shared" si="9"/>
        <v>0</v>
      </c>
      <c r="AQ33" s="148">
        <f t="shared" si="9"/>
        <v>0</v>
      </c>
      <c r="AR33" s="148">
        <f t="shared" si="9"/>
        <v>0</v>
      </c>
      <c r="AS33" s="148">
        <f t="shared" si="9"/>
        <v>0</v>
      </c>
      <c r="AT33" s="148">
        <f t="shared" si="9"/>
        <v>0</v>
      </c>
      <c r="AU33" s="148">
        <f t="shared" si="9"/>
        <v>0</v>
      </c>
      <c r="AV33" s="148">
        <f t="shared" si="9"/>
        <v>0</v>
      </c>
      <c r="AW33" s="148">
        <f t="shared" si="9"/>
        <v>0</v>
      </c>
      <c r="AX33" s="148">
        <f t="shared" si="9"/>
        <v>0</v>
      </c>
      <c r="AY33" s="148">
        <f t="shared" si="9"/>
        <v>0</v>
      </c>
      <c r="AZ33" s="148">
        <f t="shared" si="10"/>
        <v>0</v>
      </c>
      <c r="BA33" s="148">
        <f t="shared" si="10"/>
        <v>0</v>
      </c>
      <c r="BB33" s="148">
        <f t="shared" si="10"/>
        <v>0</v>
      </c>
      <c r="BC33" s="148">
        <f t="shared" si="10"/>
        <v>0</v>
      </c>
    </row>
    <row r="34" spans="1:62" x14ac:dyDescent="0.3">
      <c r="A34" s="2">
        <f t="shared" si="4"/>
        <v>2045</v>
      </c>
      <c r="B34" s="148">
        <f>'business decision calcs'!D36</f>
        <v>0</v>
      </c>
      <c r="C34" s="148"/>
      <c r="AA34" s="148">
        <f>'O&amp;M assumptions'!$O$40*$B34</f>
        <v>0</v>
      </c>
      <c r="AB34" s="148">
        <f>$B34*'O&amp;M assumptions'!$O$41</f>
        <v>0</v>
      </c>
      <c r="AC34" s="148">
        <f>$B34*'O&amp;M assumptions'!$O$42</f>
        <v>0</v>
      </c>
      <c r="AD34" s="148">
        <f>AC34</f>
        <v>0</v>
      </c>
      <c r="AE34" s="148">
        <f t="shared" si="9"/>
        <v>0</v>
      </c>
      <c r="AF34" s="148">
        <f t="shared" si="9"/>
        <v>0</v>
      </c>
      <c r="AG34" s="148">
        <f t="shared" si="9"/>
        <v>0</v>
      </c>
      <c r="AH34" s="148">
        <f t="shared" si="9"/>
        <v>0</v>
      </c>
      <c r="AI34" s="148">
        <f t="shared" si="9"/>
        <v>0</v>
      </c>
      <c r="AJ34" s="148">
        <f t="shared" si="9"/>
        <v>0</v>
      </c>
      <c r="AK34" s="148">
        <f t="shared" si="9"/>
        <v>0</v>
      </c>
      <c r="AL34" s="148">
        <f t="shared" si="9"/>
        <v>0</v>
      </c>
      <c r="AM34" s="148">
        <f t="shared" si="9"/>
        <v>0</v>
      </c>
      <c r="AN34" s="148">
        <f t="shared" si="9"/>
        <v>0</v>
      </c>
      <c r="AO34" s="148">
        <f t="shared" si="9"/>
        <v>0</v>
      </c>
      <c r="AP34" s="148">
        <f t="shared" si="9"/>
        <v>0</v>
      </c>
      <c r="AQ34" s="148">
        <f t="shared" si="9"/>
        <v>0</v>
      </c>
      <c r="AR34" s="148">
        <f t="shared" si="9"/>
        <v>0</v>
      </c>
      <c r="AS34" s="148">
        <f t="shared" si="9"/>
        <v>0</v>
      </c>
      <c r="AT34" s="148">
        <f t="shared" si="9"/>
        <v>0</v>
      </c>
      <c r="AU34" s="148">
        <f t="shared" si="9"/>
        <v>0</v>
      </c>
      <c r="AV34" s="148">
        <f t="shared" si="9"/>
        <v>0</v>
      </c>
      <c r="AW34" s="148">
        <f t="shared" si="9"/>
        <v>0</v>
      </c>
      <c r="AX34" s="148">
        <f t="shared" si="9"/>
        <v>0</v>
      </c>
      <c r="AY34" s="148">
        <f t="shared" si="9"/>
        <v>0</v>
      </c>
      <c r="AZ34" s="148">
        <f t="shared" si="10"/>
        <v>0</v>
      </c>
      <c r="BA34" s="148">
        <f t="shared" si="10"/>
        <v>0</v>
      </c>
      <c r="BB34" s="148">
        <f t="shared" si="10"/>
        <v>0</v>
      </c>
      <c r="BC34" s="148">
        <f t="shared" si="10"/>
        <v>0</v>
      </c>
      <c r="BD34" s="148">
        <f t="shared" si="10"/>
        <v>0</v>
      </c>
    </row>
    <row r="35" spans="1:62" x14ac:dyDescent="0.3">
      <c r="A35" s="2">
        <f t="shared" si="4"/>
        <v>2046</v>
      </c>
      <c r="B35" s="148">
        <f>'business decision calcs'!D37</f>
        <v>0</v>
      </c>
      <c r="C35" s="148"/>
      <c r="AB35" s="148">
        <f>'O&amp;M assumptions'!$O$40*$B35</f>
        <v>0</v>
      </c>
      <c r="AC35" s="148">
        <f>$B35*'O&amp;M assumptions'!$O$41</f>
        <v>0</v>
      </c>
      <c r="AD35" s="148">
        <f>$B35*'O&amp;M assumptions'!$O$42</f>
        <v>0</v>
      </c>
      <c r="AE35" s="148">
        <f>AD35</f>
        <v>0</v>
      </c>
      <c r="AF35" s="148">
        <f t="shared" si="9"/>
        <v>0</v>
      </c>
      <c r="AG35" s="148">
        <f t="shared" si="9"/>
        <v>0</v>
      </c>
      <c r="AH35" s="148">
        <f t="shared" si="9"/>
        <v>0</v>
      </c>
      <c r="AI35" s="148">
        <f t="shared" si="9"/>
        <v>0</v>
      </c>
      <c r="AJ35" s="148">
        <f t="shared" si="9"/>
        <v>0</v>
      </c>
      <c r="AK35" s="148">
        <f t="shared" si="9"/>
        <v>0</v>
      </c>
      <c r="AL35" s="148">
        <f t="shared" si="9"/>
        <v>0</v>
      </c>
      <c r="AM35" s="148">
        <f t="shared" si="9"/>
        <v>0</v>
      </c>
      <c r="AN35" s="148">
        <f t="shared" si="9"/>
        <v>0</v>
      </c>
      <c r="AO35" s="148">
        <f t="shared" si="9"/>
        <v>0</v>
      </c>
      <c r="AP35" s="148">
        <f t="shared" si="9"/>
        <v>0</v>
      </c>
      <c r="AQ35" s="148">
        <f t="shared" si="9"/>
        <v>0</v>
      </c>
      <c r="AR35" s="148">
        <f t="shared" si="9"/>
        <v>0</v>
      </c>
      <c r="AS35" s="148">
        <f t="shared" si="9"/>
        <v>0</v>
      </c>
      <c r="AT35" s="148">
        <f t="shared" si="9"/>
        <v>0</v>
      </c>
      <c r="AU35" s="148">
        <f t="shared" si="9"/>
        <v>0</v>
      </c>
      <c r="AV35" s="148">
        <f t="shared" si="9"/>
        <v>0</v>
      </c>
      <c r="AW35" s="148">
        <f t="shared" si="9"/>
        <v>0</v>
      </c>
      <c r="AX35" s="148">
        <f t="shared" si="9"/>
        <v>0</v>
      </c>
      <c r="AY35" s="148">
        <f t="shared" si="9"/>
        <v>0</v>
      </c>
      <c r="AZ35" s="148">
        <f t="shared" si="10"/>
        <v>0</v>
      </c>
      <c r="BA35" s="148">
        <f t="shared" si="10"/>
        <v>0</v>
      </c>
      <c r="BB35" s="148">
        <f t="shared" si="10"/>
        <v>0</v>
      </c>
      <c r="BC35" s="148">
        <f t="shared" si="10"/>
        <v>0</v>
      </c>
      <c r="BD35" s="148">
        <f t="shared" si="10"/>
        <v>0</v>
      </c>
      <c r="BE35" s="148">
        <f t="shared" si="10"/>
        <v>0</v>
      </c>
    </row>
    <row r="36" spans="1:62" x14ac:dyDescent="0.3">
      <c r="A36" s="2">
        <f t="shared" si="4"/>
        <v>2047</v>
      </c>
      <c r="B36" s="148">
        <f>'business decision calcs'!D38</f>
        <v>0</v>
      </c>
      <c r="C36" s="148"/>
      <c r="AC36" s="148">
        <f>'O&amp;M assumptions'!$O$40*$B36</f>
        <v>0</v>
      </c>
      <c r="AD36" s="148">
        <f>$B36*'O&amp;M assumptions'!$O$41</f>
        <v>0</v>
      </c>
      <c r="AE36" s="148">
        <f>$B36*'O&amp;M assumptions'!$O$42</f>
        <v>0</v>
      </c>
      <c r="AF36" s="148">
        <f>AE36</f>
        <v>0</v>
      </c>
      <c r="AG36" s="148">
        <f t="shared" si="9"/>
        <v>0</v>
      </c>
      <c r="AH36" s="148">
        <f t="shared" si="9"/>
        <v>0</v>
      </c>
      <c r="AI36" s="148">
        <f t="shared" si="9"/>
        <v>0</v>
      </c>
      <c r="AJ36" s="148">
        <f t="shared" si="9"/>
        <v>0</v>
      </c>
      <c r="AK36" s="148">
        <f t="shared" si="9"/>
        <v>0</v>
      </c>
      <c r="AL36" s="148">
        <f t="shared" si="9"/>
        <v>0</v>
      </c>
      <c r="AM36" s="148">
        <f t="shared" si="9"/>
        <v>0</v>
      </c>
      <c r="AN36" s="148">
        <f t="shared" si="9"/>
        <v>0</v>
      </c>
      <c r="AO36" s="148">
        <f t="shared" si="9"/>
        <v>0</v>
      </c>
      <c r="AP36" s="148">
        <f t="shared" si="9"/>
        <v>0</v>
      </c>
      <c r="AQ36" s="148">
        <f t="shared" si="9"/>
        <v>0</v>
      </c>
      <c r="AR36" s="148">
        <f t="shared" si="9"/>
        <v>0</v>
      </c>
      <c r="AS36" s="148">
        <f t="shared" si="9"/>
        <v>0</v>
      </c>
      <c r="AT36" s="148">
        <f t="shared" si="9"/>
        <v>0</v>
      </c>
      <c r="AU36" s="148">
        <f t="shared" si="9"/>
        <v>0</v>
      </c>
      <c r="AV36" s="148">
        <f t="shared" si="9"/>
        <v>0</v>
      </c>
      <c r="AW36" s="148">
        <f t="shared" si="9"/>
        <v>0</v>
      </c>
      <c r="AX36" s="148">
        <f t="shared" si="9"/>
        <v>0</v>
      </c>
      <c r="AY36" s="148">
        <f t="shared" si="9"/>
        <v>0</v>
      </c>
      <c r="AZ36" s="148">
        <f t="shared" si="10"/>
        <v>0</v>
      </c>
      <c r="BA36" s="148">
        <f t="shared" si="10"/>
        <v>0</v>
      </c>
      <c r="BB36" s="148">
        <f t="shared" si="10"/>
        <v>0</v>
      </c>
      <c r="BC36" s="148">
        <f t="shared" si="10"/>
        <v>0</v>
      </c>
      <c r="BD36" s="148">
        <f t="shared" si="10"/>
        <v>0</v>
      </c>
      <c r="BE36" s="148">
        <f t="shared" si="10"/>
        <v>0</v>
      </c>
      <c r="BF36" s="148">
        <f t="shared" si="10"/>
        <v>0</v>
      </c>
    </row>
    <row r="37" spans="1:62" x14ac:dyDescent="0.3">
      <c r="A37" s="2">
        <f t="shared" si="4"/>
        <v>2048</v>
      </c>
      <c r="B37" s="148">
        <f>'business decision calcs'!D39</f>
        <v>0</v>
      </c>
      <c r="C37" s="148"/>
      <c r="AD37" s="148">
        <f>'O&amp;M assumptions'!$O$40*$B37</f>
        <v>0</v>
      </c>
      <c r="AE37" s="148">
        <f>$B37*'O&amp;M assumptions'!$O$41</f>
        <v>0</v>
      </c>
      <c r="AF37" s="148">
        <f>$B37*'O&amp;M assumptions'!$O$42</f>
        <v>0</v>
      </c>
      <c r="AG37" s="148">
        <f>AF37</f>
        <v>0</v>
      </c>
      <c r="AH37" s="148">
        <f t="shared" si="9"/>
        <v>0</v>
      </c>
      <c r="AI37" s="148">
        <f t="shared" si="9"/>
        <v>0</v>
      </c>
      <c r="AJ37" s="148">
        <f t="shared" si="9"/>
        <v>0</v>
      </c>
      <c r="AK37" s="148">
        <f t="shared" si="9"/>
        <v>0</v>
      </c>
      <c r="AL37" s="148">
        <f t="shared" si="9"/>
        <v>0</v>
      </c>
      <c r="AM37" s="148">
        <f t="shared" si="9"/>
        <v>0</v>
      </c>
      <c r="AN37" s="148">
        <f t="shared" si="9"/>
        <v>0</v>
      </c>
      <c r="AO37" s="148">
        <f t="shared" si="9"/>
        <v>0</v>
      </c>
      <c r="AP37" s="148">
        <f t="shared" si="9"/>
        <v>0</v>
      </c>
      <c r="AQ37" s="148">
        <f t="shared" si="9"/>
        <v>0</v>
      </c>
      <c r="AR37" s="148">
        <f t="shared" si="9"/>
        <v>0</v>
      </c>
      <c r="AS37" s="148">
        <f t="shared" si="9"/>
        <v>0</v>
      </c>
      <c r="AT37" s="148">
        <f t="shared" si="9"/>
        <v>0</v>
      </c>
      <c r="AU37" s="148">
        <f t="shared" si="9"/>
        <v>0</v>
      </c>
      <c r="AV37" s="148">
        <f t="shared" si="9"/>
        <v>0</v>
      </c>
      <c r="AW37" s="148">
        <f t="shared" si="9"/>
        <v>0</v>
      </c>
      <c r="AX37" s="148">
        <f t="shared" si="9"/>
        <v>0</v>
      </c>
      <c r="AY37" s="148">
        <f t="shared" si="9"/>
        <v>0</v>
      </c>
      <c r="AZ37" s="148">
        <f t="shared" si="10"/>
        <v>0</v>
      </c>
      <c r="BA37" s="148">
        <f t="shared" si="10"/>
        <v>0</v>
      </c>
      <c r="BB37" s="148">
        <f t="shared" si="10"/>
        <v>0</v>
      </c>
      <c r="BC37" s="148">
        <f t="shared" si="10"/>
        <v>0</v>
      </c>
      <c r="BD37" s="148">
        <f t="shared" si="10"/>
        <v>0</v>
      </c>
      <c r="BE37" s="148">
        <f t="shared" si="10"/>
        <v>0</v>
      </c>
      <c r="BF37" s="148">
        <f t="shared" si="10"/>
        <v>0</v>
      </c>
      <c r="BG37" s="148">
        <f t="shared" si="10"/>
        <v>0</v>
      </c>
    </row>
    <row r="38" spans="1:62" x14ac:dyDescent="0.3">
      <c r="A38" s="2">
        <f t="shared" si="4"/>
        <v>2049</v>
      </c>
      <c r="B38" s="148">
        <f>'business decision calcs'!D40</f>
        <v>0</v>
      </c>
      <c r="C38" s="148"/>
      <c r="AE38" s="148">
        <f>'O&amp;M assumptions'!$O$40*$B38</f>
        <v>0</v>
      </c>
      <c r="AF38" s="148">
        <f>$B38*'O&amp;M assumptions'!$O$41</f>
        <v>0</v>
      </c>
      <c r="AG38" s="148">
        <f>$B38*'O&amp;M assumptions'!$O$42</f>
        <v>0</v>
      </c>
      <c r="AH38" s="148">
        <f>AG38</f>
        <v>0</v>
      </c>
      <c r="AI38" s="148">
        <f t="shared" si="9"/>
        <v>0</v>
      </c>
      <c r="AJ38" s="148">
        <f t="shared" si="9"/>
        <v>0</v>
      </c>
      <c r="AK38" s="148">
        <f t="shared" si="9"/>
        <v>0</v>
      </c>
      <c r="AL38" s="148">
        <f t="shared" si="9"/>
        <v>0</v>
      </c>
      <c r="AM38" s="148">
        <f t="shared" si="9"/>
        <v>0</v>
      </c>
      <c r="AN38" s="148">
        <f t="shared" si="9"/>
        <v>0</v>
      </c>
      <c r="AO38" s="148">
        <f t="shared" si="9"/>
        <v>0</v>
      </c>
      <c r="AP38" s="148">
        <f t="shared" si="9"/>
        <v>0</v>
      </c>
      <c r="AQ38" s="148">
        <f t="shared" si="9"/>
        <v>0</v>
      </c>
      <c r="AR38" s="148">
        <f t="shared" si="9"/>
        <v>0</v>
      </c>
      <c r="AS38" s="148">
        <f t="shared" si="9"/>
        <v>0</v>
      </c>
      <c r="AT38" s="148">
        <f t="shared" si="9"/>
        <v>0</v>
      </c>
      <c r="AU38" s="148">
        <f t="shared" si="9"/>
        <v>0</v>
      </c>
      <c r="AV38" s="148">
        <f t="shared" si="9"/>
        <v>0</v>
      </c>
      <c r="AW38" s="148">
        <f t="shared" si="9"/>
        <v>0</v>
      </c>
      <c r="AX38" s="148">
        <f t="shared" si="9"/>
        <v>0</v>
      </c>
      <c r="AY38" s="148">
        <f t="shared" si="9"/>
        <v>0</v>
      </c>
      <c r="AZ38" s="148">
        <f t="shared" si="10"/>
        <v>0</v>
      </c>
      <c r="BA38" s="148">
        <f t="shared" si="10"/>
        <v>0</v>
      </c>
      <c r="BB38" s="148">
        <f t="shared" si="10"/>
        <v>0</v>
      </c>
      <c r="BC38" s="148">
        <f t="shared" si="10"/>
        <v>0</v>
      </c>
      <c r="BD38" s="148">
        <f t="shared" si="10"/>
        <v>0</v>
      </c>
      <c r="BE38" s="148">
        <f t="shared" si="10"/>
        <v>0</v>
      </c>
      <c r="BF38" s="148">
        <f t="shared" si="10"/>
        <v>0</v>
      </c>
      <c r="BG38" s="148">
        <f t="shared" si="10"/>
        <v>0</v>
      </c>
      <c r="BH38" s="148">
        <f t="shared" si="10"/>
        <v>0</v>
      </c>
    </row>
    <row r="39" spans="1:62" x14ac:dyDescent="0.3">
      <c r="A39" s="2">
        <f t="shared" si="4"/>
        <v>2050</v>
      </c>
      <c r="B39" s="148">
        <f>'business decision calcs'!D41</f>
        <v>0</v>
      </c>
      <c r="C39" s="148"/>
      <c r="AF39" s="148">
        <f>'O&amp;M assumptions'!$O$40*$B39</f>
        <v>0</v>
      </c>
      <c r="AG39" s="148">
        <f>$B39*'O&amp;M assumptions'!$O$41</f>
        <v>0</v>
      </c>
      <c r="AH39" s="148">
        <f>$B39*'O&amp;M assumptions'!$O$42</f>
        <v>0</v>
      </c>
      <c r="AI39" s="148">
        <f>AH39</f>
        <v>0</v>
      </c>
      <c r="AJ39" s="148">
        <f t="shared" si="9"/>
        <v>0</v>
      </c>
      <c r="AK39" s="148">
        <f t="shared" si="9"/>
        <v>0</v>
      </c>
      <c r="AL39" s="148">
        <f t="shared" si="9"/>
        <v>0</v>
      </c>
      <c r="AM39" s="148">
        <f t="shared" si="9"/>
        <v>0</v>
      </c>
      <c r="AN39" s="148">
        <f t="shared" si="9"/>
        <v>0</v>
      </c>
      <c r="AO39" s="148">
        <f t="shared" si="9"/>
        <v>0</v>
      </c>
      <c r="AP39" s="148">
        <f t="shared" si="9"/>
        <v>0</v>
      </c>
      <c r="AQ39" s="148">
        <f t="shared" si="9"/>
        <v>0</v>
      </c>
      <c r="AR39" s="148">
        <f t="shared" si="9"/>
        <v>0</v>
      </c>
      <c r="AS39" s="148">
        <f t="shared" si="9"/>
        <v>0</v>
      </c>
      <c r="AT39" s="148">
        <f t="shared" si="9"/>
        <v>0</v>
      </c>
      <c r="AU39" s="148">
        <f t="shared" si="9"/>
        <v>0</v>
      </c>
      <c r="AV39" s="148">
        <f t="shared" si="9"/>
        <v>0</v>
      </c>
      <c r="AW39" s="148">
        <f t="shared" si="9"/>
        <v>0</v>
      </c>
      <c r="AX39" s="148">
        <f t="shared" si="9"/>
        <v>0</v>
      </c>
      <c r="AY39" s="148">
        <f t="shared" si="9"/>
        <v>0</v>
      </c>
      <c r="AZ39" s="148">
        <f t="shared" si="10"/>
        <v>0</v>
      </c>
      <c r="BA39" s="148">
        <f t="shared" si="10"/>
        <v>0</v>
      </c>
      <c r="BB39" s="148">
        <f t="shared" si="10"/>
        <v>0</v>
      </c>
      <c r="BC39" s="148">
        <f t="shared" si="10"/>
        <v>0</v>
      </c>
      <c r="BD39" s="148">
        <f t="shared" si="10"/>
        <v>0</v>
      </c>
      <c r="BE39" s="148">
        <f t="shared" si="10"/>
        <v>0</v>
      </c>
      <c r="BF39" s="148">
        <f t="shared" si="10"/>
        <v>0</v>
      </c>
      <c r="BG39" s="148">
        <f t="shared" si="10"/>
        <v>0</v>
      </c>
      <c r="BH39" s="148">
        <f t="shared" si="10"/>
        <v>0</v>
      </c>
      <c r="BI39" s="148">
        <f t="shared" si="10"/>
        <v>0</v>
      </c>
    </row>
    <row r="40" spans="1:62" x14ac:dyDescent="0.3">
      <c r="A40" s="2">
        <f t="shared" si="4"/>
        <v>2051</v>
      </c>
      <c r="B40" s="148">
        <f>'business decision calcs'!D42</f>
        <v>0</v>
      </c>
      <c r="C40" s="14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94">
        <f>'O&amp;M assumptions'!$O$40*$B40</f>
        <v>0</v>
      </c>
      <c r="AH40" s="148">
        <f>$B40*'O&amp;M assumptions'!$O$41</f>
        <v>0</v>
      </c>
      <c r="AI40" s="148">
        <f>$B40*'O&amp;M assumptions'!$O$42</f>
        <v>0</v>
      </c>
      <c r="AJ40" s="148">
        <f>AI40</f>
        <v>0</v>
      </c>
      <c r="AK40" s="148">
        <f t="shared" si="9"/>
        <v>0</v>
      </c>
      <c r="AL40" s="148">
        <f t="shared" si="9"/>
        <v>0</v>
      </c>
      <c r="AM40" s="148">
        <f t="shared" si="9"/>
        <v>0</v>
      </c>
      <c r="AN40" s="148">
        <f t="shared" si="9"/>
        <v>0</v>
      </c>
      <c r="AO40" s="148">
        <f t="shared" si="9"/>
        <v>0</v>
      </c>
      <c r="AP40" s="148">
        <f t="shared" si="9"/>
        <v>0</v>
      </c>
      <c r="AQ40" s="148">
        <f t="shared" si="9"/>
        <v>0</v>
      </c>
      <c r="AR40" s="148">
        <f t="shared" si="9"/>
        <v>0</v>
      </c>
      <c r="AS40" s="148">
        <f t="shared" si="9"/>
        <v>0</v>
      </c>
      <c r="AT40" s="148">
        <f t="shared" si="9"/>
        <v>0</v>
      </c>
      <c r="AU40" s="148">
        <f t="shared" si="9"/>
        <v>0</v>
      </c>
      <c r="AV40" s="148">
        <f t="shared" si="9"/>
        <v>0</v>
      </c>
      <c r="AW40" s="148">
        <f t="shared" si="9"/>
        <v>0</v>
      </c>
      <c r="AX40" s="148">
        <f t="shared" si="9"/>
        <v>0</v>
      </c>
      <c r="AY40" s="148">
        <f t="shared" si="9"/>
        <v>0</v>
      </c>
      <c r="AZ40" s="148">
        <f t="shared" si="10"/>
        <v>0</v>
      </c>
      <c r="BA40" s="148">
        <f t="shared" si="10"/>
        <v>0</v>
      </c>
      <c r="BB40" s="148">
        <f t="shared" si="10"/>
        <v>0</v>
      </c>
      <c r="BC40" s="148">
        <f t="shared" si="10"/>
        <v>0</v>
      </c>
      <c r="BD40" s="148">
        <f t="shared" si="10"/>
        <v>0</v>
      </c>
      <c r="BE40" s="148">
        <f t="shared" si="10"/>
        <v>0</v>
      </c>
      <c r="BF40" s="148">
        <f t="shared" si="10"/>
        <v>0</v>
      </c>
      <c r="BG40" s="148">
        <f t="shared" si="10"/>
        <v>0</v>
      </c>
      <c r="BH40" s="148">
        <f t="shared" si="10"/>
        <v>0</v>
      </c>
      <c r="BI40" s="148">
        <f t="shared" si="10"/>
        <v>0</v>
      </c>
      <c r="BJ40" s="148">
        <f t="shared" si="10"/>
        <v>0</v>
      </c>
    </row>
    <row r="41" spans="1:62" x14ac:dyDescent="0.3">
      <c r="A41" s="2" t="s">
        <v>216</v>
      </c>
      <c r="B41" s="148">
        <f>SUM(B11:B40)</f>
        <v>155</v>
      </c>
      <c r="C41" s="148"/>
      <c r="D41" s="148">
        <f t="shared" ref="D41:AG41" si="11">SUM(D11:D40)</f>
        <v>19.274193548387096</v>
      </c>
      <c r="E41" s="148">
        <f t="shared" si="11"/>
        <v>37.544354838709673</v>
      </c>
      <c r="F41" s="148">
        <f t="shared" si="11"/>
        <v>54.926093706890171</v>
      </c>
      <c r="G41" s="148">
        <f t="shared" si="11"/>
        <v>72.449638259857736</v>
      </c>
      <c r="H41" s="148">
        <f t="shared" si="11"/>
        <v>89.973182812825286</v>
      </c>
      <c r="I41" s="148">
        <f t="shared" si="11"/>
        <v>107.49672736579285</v>
      </c>
      <c r="J41" s="148">
        <f t="shared" si="11"/>
        <v>110.56462675747009</v>
      </c>
      <c r="K41" s="148">
        <f t="shared" si="11"/>
        <v>108.36236485882475</v>
      </c>
      <c r="L41" s="148">
        <f t="shared" si="11"/>
        <v>108.64597622839888</v>
      </c>
      <c r="M41" s="148">
        <f t="shared" si="11"/>
        <v>108.64597622839888</v>
      </c>
      <c r="N41" s="148">
        <f t="shared" si="11"/>
        <v>108.64597622839888</v>
      </c>
      <c r="O41" s="148">
        <f t="shared" si="11"/>
        <v>108.64597622839888</v>
      </c>
      <c r="P41" s="148">
        <f t="shared" si="11"/>
        <v>108.64597622839888</v>
      </c>
      <c r="Q41" s="148">
        <f t="shared" si="11"/>
        <v>108.64597622839888</v>
      </c>
      <c r="R41" s="148">
        <f t="shared" si="11"/>
        <v>108.64597622839888</v>
      </c>
      <c r="S41" s="148">
        <f t="shared" si="11"/>
        <v>108.64597622839888</v>
      </c>
      <c r="T41" s="148">
        <f t="shared" si="11"/>
        <v>108.64597622839888</v>
      </c>
      <c r="U41" s="148">
        <f t="shared" si="11"/>
        <v>108.64597622839888</v>
      </c>
      <c r="V41" s="148">
        <f t="shared" si="11"/>
        <v>108.64597622839888</v>
      </c>
      <c r="W41" s="148">
        <f t="shared" si="11"/>
        <v>108.64597622839888</v>
      </c>
      <c r="X41" s="148">
        <f t="shared" si="11"/>
        <v>108.64597622839888</v>
      </c>
      <c r="Y41" s="148">
        <f t="shared" si="11"/>
        <v>108.64597622839888</v>
      </c>
      <c r="Z41" s="148">
        <f t="shared" si="11"/>
        <v>108.64597622839888</v>
      </c>
      <c r="AA41" s="148">
        <f t="shared" si="11"/>
        <v>108.64597622839888</v>
      </c>
      <c r="AB41" s="148">
        <f t="shared" si="11"/>
        <v>108.64597622839888</v>
      </c>
      <c r="AC41" s="148">
        <f t="shared" si="11"/>
        <v>108.64597622839888</v>
      </c>
      <c r="AD41" s="148">
        <f t="shared" si="11"/>
        <v>108.64597622839888</v>
      </c>
      <c r="AE41" s="148">
        <f t="shared" si="11"/>
        <v>108.64597622839888</v>
      </c>
      <c r="AF41" s="148">
        <f t="shared" si="11"/>
        <v>108.64597622839888</v>
      </c>
      <c r="AG41" s="148">
        <f t="shared" si="11"/>
        <v>108.64597622839888</v>
      </c>
    </row>
    <row r="42" spans="1:62" ht="17.25" thickBot="1" x14ac:dyDescent="0.3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E3E40CAE36B5439402BD4F8BEAACFC" ma:contentTypeVersion="18" ma:contentTypeDescription="Create a new document." ma:contentTypeScope="" ma:versionID="0a1969039a6e6a7fde3a8bc8d0c8d129">
  <xsd:schema xmlns:xsd="http://www.w3.org/2001/XMLSchema" xmlns:xs="http://www.w3.org/2001/XMLSchema" xmlns:p="http://schemas.microsoft.com/office/2006/metadata/properties" xmlns:ns2="c596e360-7d26-4837-bd75-24a95a1c0395" xmlns:ns3="38b4bd7b-f05e-4f70-a4e5-b921ddb8da03" targetNamespace="http://schemas.microsoft.com/office/2006/metadata/properties" ma:root="true" ma:fieldsID="c0f442cd7857e1d39719d212eefea506" ns2:_="" ns3:_="">
    <xsd:import namespace="c596e360-7d26-4837-bd75-24a95a1c0395"/>
    <xsd:import namespace="38b4bd7b-f05e-4f70-a4e5-b921ddb8da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6e360-7d26-4837-bd75-24a95a1c0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6645929-e136-445d-a601-ee1ae25cb6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b4bd7b-f05e-4f70-a4e5-b921ddb8da0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c19dd6-00e7-4cd8-9ae1-e8f1c040a403}" ma:internalName="TaxCatchAll" ma:showField="CatchAllData" ma:web="38b4bd7b-f05e-4f70-a4e5-b921ddb8da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8b4bd7b-f05e-4f70-a4e5-b921ddb8da03" xsi:nil="true"/>
    <lcf76f155ced4ddcb4097134ff3c332f xmlns="c596e360-7d26-4837-bd75-24a95a1c03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DA34D7-60F9-4EEF-B2F8-BFA7373936E0}">
  <ds:schemaRefs>
    <ds:schemaRef ds:uri="http://schemas.microsoft.com/sharepoint/v3/contenttype/forms"/>
  </ds:schemaRefs>
</ds:datastoreItem>
</file>

<file path=customXml/itemProps2.xml><?xml version="1.0" encoding="utf-8"?>
<ds:datastoreItem xmlns:ds="http://schemas.openxmlformats.org/officeDocument/2006/customXml" ds:itemID="{4B672F9E-2F58-47AE-BB7A-A2168291042C}"/>
</file>

<file path=customXml/itemProps3.xml><?xml version="1.0" encoding="utf-8"?>
<ds:datastoreItem xmlns:ds="http://schemas.openxmlformats.org/officeDocument/2006/customXml" ds:itemID="{046F9564-B004-435C-8493-FA95D014CCA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Documentation</vt:lpstr>
      <vt:lpstr>dashboard and results</vt:lpstr>
      <vt:lpstr>water provider assumptions</vt:lpstr>
      <vt:lpstr>O&amp;M assumptions</vt:lpstr>
      <vt:lpstr>business decision calcs</vt:lpstr>
      <vt:lpstr>provider community calcs</vt:lpstr>
      <vt:lpstr>O&amp;M cost matrix</vt:lpstr>
      <vt:lpstr>revised water usage matrix</vt:lpstr>
      <vt:lpstr>Documentation!_Hlk171586204</vt:lpstr>
      <vt:lpstr>Documentation!OLE_LINK10</vt:lpstr>
      <vt:lpstr>Documentation!OLE_LINK11</vt:lpstr>
      <vt:lpstr>Documentation!OLE_LINK12</vt:lpstr>
      <vt:lpstr>Documentation!OLE_LINK14</vt:lpstr>
      <vt:lpstr>Documentation!OLE_LINK16</vt:lpstr>
      <vt:lpstr>Documentation!OLE_LINK2</vt:lpstr>
      <vt:lpstr>Documentation!OLE_LINK7</vt:lpstr>
      <vt:lpstr>Documentation!OLE_LINK8</vt:lpstr>
      <vt:lpstr>Documentation!OLE_LINK9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Oamek</dc:creator>
  <cp:keywords/>
  <dc:description/>
  <cp:lastModifiedBy>Laura Belanger</cp:lastModifiedBy>
  <cp:revision/>
  <dcterms:created xsi:type="dcterms:W3CDTF">2022-02-09T21:41:09Z</dcterms:created>
  <dcterms:modified xsi:type="dcterms:W3CDTF">2025-01-02T23:01:38Z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0x010100EAE3E40CAE36B5439402BD4F8BEAACFC</vt:lpwstr>
  </property>
</Properties>
</file>